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D:\Triniti\"/>
    </mc:Choice>
  </mc:AlternateContent>
  <bookViews>
    <workbookView xWindow="0" yWindow="0" windowWidth="20490" windowHeight="7515" tabRatio="500" firstSheet="9" activeTab="11"/>
  </bookViews>
  <sheets>
    <sheet name="Cover" sheetId="20" r:id="rId1"/>
    <sheet name="a. Instructions" sheetId="19" r:id="rId2"/>
    <sheet name="b. Definitions" sheetId="2" r:id="rId3"/>
    <sheet name="0. Control Panel" sheetId="9" r:id="rId4"/>
    <sheet name="1. FTE Allocations" sheetId="10" r:id="rId5"/>
    <sheet name="2. Customer Benefit Input" sheetId="7" r:id="rId6"/>
    <sheet name="2.1 Customer Benefit Output" sheetId="15" state="hidden" r:id="rId7"/>
    <sheet name="3. Product Benefit Input" sheetId="11" r:id="rId8"/>
    <sheet name="3.1 Product Benefit Output" sheetId="16" state="hidden" r:id="rId9"/>
    <sheet name="4. Implementation Costs" sheetId="13" r:id="rId10"/>
    <sheet name="5. Segmented Cash Impact" sheetId="17" r:id="rId11"/>
    <sheet name="6. MDM ROI &amp; NPV" sheetId="18" r:id="rId12"/>
  </sheets>
  <definedNames>
    <definedName name="_xlnm.Print_Area" localSheetId="3">'0. Control Panel'!$B$5:$G$56</definedName>
  </definedNames>
  <calcPr calcId="171027"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286" i="10" l="1"/>
  <c r="D6" i="10"/>
  <c r="D286" i="10"/>
  <c r="C36" i="10"/>
  <c r="C67" i="10"/>
  <c r="C98" i="10"/>
  <c r="C129" i="10"/>
  <c r="C160" i="10"/>
  <c r="C191" i="10"/>
  <c r="C222" i="10"/>
  <c r="C253" i="10"/>
  <c r="C284" i="10"/>
  <c r="B7" i="9"/>
  <c r="B8" i="9"/>
  <c r="B9" i="9"/>
  <c r="B10" i="9"/>
  <c r="B11" i="9"/>
  <c r="B12" i="9"/>
  <c r="B13" i="9"/>
  <c r="B14" i="9"/>
  <c r="B15" i="9"/>
  <c r="B16" i="9"/>
  <c r="D284" i="10"/>
  <c r="F286" i="10"/>
  <c r="C287" i="10"/>
  <c r="D287" i="10"/>
  <c r="F287" i="10"/>
  <c r="C288" i="10"/>
  <c r="D288" i="10"/>
  <c r="F288" i="10"/>
  <c r="C289" i="10"/>
  <c r="D289" i="10"/>
  <c r="F289" i="10"/>
  <c r="C290" i="10"/>
  <c r="D290" i="10"/>
  <c r="F290" i="10"/>
  <c r="C291" i="10"/>
  <c r="D291" i="10"/>
  <c r="F291" i="10"/>
  <c r="C292" i="10"/>
  <c r="D292" i="10"/>
  <c r="F292" i="10"/>
  <c r="C293" i="10"/>
  <c r="D293" i="10"/>
  <c r="F293" i="10"/>
  <c r="C294" i="10"/>
  <c r="D294" i="10"/>
  <c r="F294" i="10"/>
  <c r="C295" i="10"/>
  <c r="D295" i="10"/>
  <c r="F295" i="10"/>
  <c r="F296" i="10"/>
  <c r="C298" i="10"/>
  <c r="D18" i="10"/>
  <c r="D298" i="10"/>
  <c r="F298" i="10"/>
  <c r="C299" i="10"/>
  <c r="D299" i="10"/>
  <c r="F299" i="10"/>
  <c r="C300" i="10"/>
  <c r="D300" i="10"/>
  <c r="F300" i="10"/>
  <c r="C301" i="10"/>
  <c r="D301" i="10"/>
  <c r="F301" i="10"/>
  <c r="C302" i="10"/>
  <c r="D302" i="10"/>
  <c r="F302" i="10"/>
  <c r="C303" i="10"/>
  <c r="D303" i="10"/>
  <c r="F303" i="10"/>
  <c r="C304" i="10"/>
  <c r="D304" i="10"/>
  <c r="F304" i="10"/>
  <c r="C305" i="10"/>
  <c r="D305" i="10"/>
  <c r="F305" i="10"/>
  <c r="C306" i="10"/>
  <c r="D306" i="10"/>
  <c r="F306" i="10"/>
  <c r="C307" i="10"/>
  <c r="D307" i="10"/>
  <c r="F307" i="10"/>
  <c r="F308" i="10"/>
  <c r="E14" i="13"/>
  <c r="D98" i="13"/>
  <c r="C255" i="10"/>
  <c r="D255" i="10"/>
  <c r="D253" i="10"/>
  <c r="F255" i="10"/>
  <c r="C256" i="10"/>
  <c r="D256" i="10"/>
  <c r="F256" i="10"/>
  <c r="C257" i="10"/>
  <c r="D257" i="10"/>
  <c r="F257" i="10"/>
  <c r="C258" i="10"/>
  <c r="D258" i="10"/>
  <c r="F258" i="10"/>
  <c r="C259" i="10"/>
  <c r="D259" i="10"/>
  <c r="F259" i="10"/>
  <c r="C260" i="10"/>
  <c r="D260" i="10"/>
  <c r="F260" i="10"/>
  <c r="C261" i="10"/>
  <c r="D261" i="10"/>
  <c r="F261" i="10"/>
  <c r="C262" i="10"/>
  <c r="D262" i="10"/>
  <c r="F262" i="10"/>
  <c r="C263" i="10"/>
  <c r="D263" i="10"/>
  <c r="F263" i="10"/>
  <c r="C264" i="10"/>
  <c r="D264" i="10"/>
  <c r="F264" i="10"/>
  <c r="F265" i="10"/>
  <c r="C267" i="10"/>
  <c r="D267" i="10"/>
  <c r="F267" i="10"/>
  <c r="C268" i="10"/>
  <c r="D268" i="10"/>
  <c r="F268" i="10"/>
  <c r="C269" i="10"/>
  <c r="D269" i="10"/>
  <c r="F269" i="10"/>
  <c r="C270" i="10"/>
  <c r="D270" i="10"/>
  <c r="F270" i="10"/>
  <c r="C271" i="10"/>
  <c r="D271" i="10"/>
  <c r="F271" i="10"/>
  <c r="C272" i="10"/>
  <c r="D272" i="10"/>
  <c r="F272" i="10"/>
  <c r="C273" i="10"/>
  <c r="D273" i="10"/>
  <c r="F273" i="10"/>
  <c r="C274" i="10"/>
  <c r="D274" i="10"/>
  <c r="F274" i="10"/>
  <c r="C275" i="10"/>
  <c r="D275" i="10"/>
  <c r="F275" i="10"/>
  <c r="C276" i="10"/>
  <c r="D276" i="10"/>
  <c r="F276" i="10"/>
  <c r="F277" i="10"/>
  <c r="E13" i="13"/>
  <c r="D97" i="13"/>
  <c r="C224" i="10"/>
  <c r="D224" i="10"/>
  <c r="D222" i="10"/>
  <c r="E14" i="9"/>
  <c r="F224" i="10"/>
  <c r="C225" i="10"/>
  <c r="D225" i="10"/>
  <c r="F225" i="10"/>
  <c r="C226" i="10"/>
  <c r="D226" i="10"/>
  <c r="F226" i="10"/>
  <c r="C227" i="10"/>
  <c r="D227" i="10"/>
  <c r="F227" i="10"/>
  <c r="C228" i="10"/>
  <c r="D228" i="10"/>
  <c r="F228" i="10"/>
  <c r="C229" i="10"/>
  <c r="D229" i="10"/>
  <c r="F229" i="10"/>
  <c r="C230" i="10"/>
  <c r="D230" i="10"/>
  <c r="F230" i="10"/>
  <c r="C231" i="10"/>
  <c r="D231" i="10"/>
  <c r="F231" i="10"/>
  <c r="C232" i="10"/>
  <c r="D232" i="10"/>
  <c r="F232" i="10"/>
  <c r="C233" i="10"/>
  <c r="D233" i="10"/>
  <c r="F233" i="10"/>
  <c r="F234" i="10"/>
  <c r="C236" i="10"/>
  <c r="D236" i="10"/>
  <c r="F236" i="10"/>
  <c r="C237" i="10"/>
  <c r="D237" i="10"/>
  <c r="F237" i="10"/>
  <c r="C238" i="10"/>
  <c r="D238" i="10"/>
  <c r="F238" i="10"/>
  <c r="C239" i="10"/>
  <c r="D239" i="10"/>
  <c r="F239" i="10"/>
  <c r="C240" i="10"/>
  <c r="D240" i="10"/>
  <c r="F240" i="10"/>
  <c r="C241" i="10"/>
  <c r="D241" i="10"/>
  <c r="F241" i="10"/>
  <c r="C242" i="10"/>
  <c r="D242" i="10"/>
  <c r="F242" i="10"/>
  <c r="C243" i="10"/>
  <c r="D243" i="10"/>
  <c r="F243" i="10"/>
  <c r="C244" i="10"/>
  <c r="D244" i="10"/>
  <c r="F244" i="10"/>
  <c r="C245" i="10"/>
  <c r="D245" i="10"/>
  <c r="F245" i="10"/>
  <c r="F246" i="10"/>
  <c r="E12" i="13"/>
  <c r="D96" i="13"/>
  <c r="C193" i="10"/>
  <c r="D193" i="10"/>
  <c r="D191" i="10"/>
  <c r="E13" i="9"/>
  <c r="F193" i="10"/>
  <c r="C194" i="10"/>
  <c r="D194" i="10"/>
  <c r="F194" i="10"/>
  <c r="C195" i="10"/>
  <c r="D195" i="10"/>
  <c r="F195" i="10"/>
  <c r="C196" i="10"/>
  <c r="D196" i="10"/>
  <c r="F196" i="10"/>
  <c r="C197" i="10"/>
  <c r="D197" i="10"/>
  <c r="F197" i="10"/>
  <c r="C198" i="10"/>
  <c r="D198" i="10"/>
  <c r="F198" i="10"/>
  <c r="C199" i="10"/>
  <c r="D199" i="10"/>
  <c r="F199" i="10"/>
  <c r="C200" i="10"/>
  <c r="D200" i="10"/>
  <c r="F200" i="10"/>
  <c r="C201" i="10"/>
  <c r="D201" i="10"/>
  <c r="F201" i="10"/>
  <c r="C202" i="10"/>
  <c r="D202" i="10"/>
  <c r="F202" i="10"/>
  <c r="F203" i="10"/>
  <c r="C205" i="10"/>
  <c r="D205" i="10"/>
  <c r="F205" i="10"/>
  <c r="C206" i="10"/>
  <c r="D206" i="10"/>
  <c r="F206" i="10"/>
  <c r="C207" i="10"/>
  <c r="D207" i="10"/>
  <c r="F207" i="10"/>
  <c r="C208" i="10"/>
  <c r="D208" i="10"/>
  <c r="F208" i="10"/>
  <c r="C209" i="10"/>
  <c r="D209" i="10"/>
  <c r="F209" i="10"/>
  <c r="C210" i="10"/>
  <c r="D210" i="10"/>
  <c r="F210" i="10"/>
  <c r="C211" i="10"/>
  <c r="D211" i="10"/>
  <c r="F211" i="10"/>
  <c r="C212" i="10"/>
  <c r="D212" i="10"/>
  <c r="F212" i="10"/>
  <c r="C213" i="10"/>
  <c r="D213" i="10"/>
  <c r="F213" i="10"/>
  <c r="C214" i="10"/>
  <c r="D214" i="10"/>
  <c r="F214" i="10"/>
  <c r="F215" i="10"/>
  <c r="E11" i="13"/>
  <c r="D95" i="13"/>
  <c r="C162" i="10"/>
  <c r="D162" i="10"/>
  <c r="D160" i="10"/>
  <c r="E12" i="9"/>
  <c r="F162" i="10"/>
  <c r="C163" i="10"/>
  <c r="D163" i="10"/>
  <c r="F163" i="10"/>
  <c r="C164" i="10"/>
  <c r="D164" i="10"/>
  <c r="F164" i="10"/>
  <c r="C165" i="10"/>
  <c r="D165" i="10"/>
  <c r="F165" i="10"/>
  <c r="C166" i="10"/>
  <c r="D166" i="10"/>
  <c r="F166" i="10"/>
  <c r="C167" i="10"/>
  <c r="D167" i="10"/>
  <c r="F167" i="10"/>
  <c r="C168" i="10"/>
  <c r="D168" i="10"/>
  <c r="F168" i="10"/>
  <c r="C169" i="10"/>
  <c r="D169" i="10"/>
  <c r="F169" i="10"/>
  <c r="C170" i="10"/>
  <c r="D170" i="10"/>
  <c r="F170" i="10"/>
  <c r="C171" i="10"/>
  <c r="D171" i="10"/>
  <c r="F171" i="10"/>
  <c r="F172" i="10"/>
  <c r="C174" i="10"/>
  <c r="D174" i="10"/>
  <c r="F174" i="10"/>
  <c r="C175" i="10"/>
  <c r="D175" i="10"/>
  <c r="F175" i="10"/>
  <c r="C176" i="10"/>
  <c r="D176" i="10"/>
  <c r="F176" i="10"/>
  <c r="C177" i="10"/>
  <c r="D177" i="10"/>
  <c r="F177" i="10"/>
  <c r="C178" i="10"/>
  <c r="D178" i="10"/>
  <c r="F178" i="10"/>
  <c r="C179" i="10"/>
  <c r="D179" i="10"/>
  <c r="F179" i="10"/>
  <c r="C180" i="10"/>
  <c r="D180" i="10"/>
  <c r="F180" i="10"/>
  <c r="C181" i="10"/>
  <c r="D181" i="10"/>
  <c r="F181" i="10"/>
  <c r="C182" i="10"/>
  <c r="D182" i="10"/>
  <c r="F182" i="10"/>
  <c r="C183" i="10"/>
  <c r="D183" i="10"/>
  <c r="F183" i="10"/>
  <c r="F184" i="10"/>
  <c r="E10" i="13"/>
  <c r="D94" i="13"/>
  <c r="C131" i="10"/>
  <c r="D131" i="10"/>
  <c r="D129" i="10"/>
  <c r="E11" i="9"/>
  <c r="F131" i="10"/>
  <c r="C132" i="10"/>
  <c r="D132" i="10"/>
  <c r="F132" i="10"/>
  <c r="C133" i="10"/>
  <c r="D133" i="10"/>
  <c r="F133" i="10"/>
  <c r="C134" i="10"/>
  <c r="D134" i="10"/>
  <c r="F134" i="10"/>
  <c r="C135" i="10"/>
  <c r="D135" i="10"/>
  <c r="F135" i="10"/>
  <c r="C136" i="10"/>
  <c r="D136" i="10"/>
  <c r="F136" i="10"/>
  <c r="C137" i="10"/>
  <c r="D137" i="10"/>
  <c r="F137" i="10"/>
  <c r="C138" i="10"/>
  <c r="D138" i="10"/>
  <c r="F138" i="10"/>
  <c r="C139" i="10"/>
  <c r="D139" i="10"/>
  <c r="F139" i="10"/>
  <c r="C140" i="10"/>
  <c r="D140" i="10"/>
  <c r="F140" i="10"/>
  <c r="F141" i="10"/>
  <c r="C143" i="10"/>
  <c r="D143" i="10"/>
  <c r="F143" i="10"/>
  <c r="C144" i="10"/>
  <c r="D144" i="10"/>
  <c r="F144" i="10"/>
  <c r="C145" i="10"/>
  <c r="D145" i="10"/>
  <c r="F145" i="10"/>
  <c r="C146" i="10"/>
  <c r="D146" i="10"/>
  <c r="F146" i="10"/>
  <c r="C147" i="10"/>
  <c r="D147" i="10"/>
  <c r="F147" i="10"/>
  <c r="C148" i="10"/>
  <c r="D148" i="10"/>
  <c r="F148" i="10"/>
  <c r="C149" i="10"/>
  <c r="D149" i="10"/>
  <c r="F149" i="10"/>
  <c r="C150" i="10"/>
  <c r="D150" i="10"/>
  <c r="F150" i="10"/>
  <c r="C151" i="10"/>
  <c r="D151" i="10"/>
  <c r="F151" i="10"/>
  <c r="C152" i="10"/>
  <c r="D152" i="10"/>
  <c r="F152" i="10"/>
  <c r="F153" i="10"/>
  <c r="E9" i="13"/>
  <c r="D93" i="13"/>
  <c r="C100" i="10"/>
  <c r="D100" i="10"/>
  <c r="D98" i="10"/>
  <c r="E10" i="9"/>
  <c r="F100" i="10"/>
  <c r="C101" i="10"/>
  <c r="D101" i="10"/>
  <c r="F101" i="10"/>
  <c r="C102" i="10"/>
  <c r="D102" i="10"/>
  <c r="F102" i="10"/>
  <c r="C103" i="10"/>
  <c r="D103" i="10"/>
  <c r="F103" i="10"/>
  <c r="C104" i="10"/>
  <c r="D104" i="10"/>
  <c r="F104" i="10"/>
  <c r="C105" i="10"/>
  <c r="D105" i="10"/>
  <c r="F105" i="10"/>
  <c r="C106" i="10"/>
  <c r="D106" i="10"/>
  <c r="F106" i="10"/>
  <c r="C107" i="10"/>
  <c r="D107" i="10"/>
  <c r="F107" i="10"/>
  <c r="C108" i="10"/>
  <c r="D108" i="10"/>
  <c r="F108" i="10"/>
  <c r="C109" i="10"/>
  <c r="D109" i="10"/>
  <c r="F109" i="10"/>
  <c r="F110" i="10"/>
  <c r="C112" i="10"/>
  <c r="D112" i="10"/>
  <c r="F112" i="10"/>
  <c r="C113" i="10"/>
  <c r="D113" i="10"/>
  <c r="F113" i="10"/>
  <c r="C114" i="10"/>
  <c r="D114" i="10"/>
  <c r="F114" i="10"/>
  <c r="C115" i="10"/>
  <c r="D115" i="10"/>
  <c r="F115" i="10"/>
  <c r="C116" i="10"/>
  <c r="D116" i="10"/>
  <c r="F116" i="10"/>
  <c r="C117" i="10"/>
  <c r="D117" i="10"/>
  <c r="F117" i="10"/>
  <c r="C118" i="10"/>
  <c r="D118" i="10"/>
  <c r="F118" i="10"/>
  <c r="C119" i="10"/>
  <c r="D119" i="10"/>
  <c r="F119" i="10"/>
  <c r="C120" i="10"/>
  <c r="D120" i="10"/>
  <c r="F120" i="10"/>
  <c r="C121" i="10"/>
  <c r="D121" i="10"/>
  <c r="F121" i="10"/>
  <c r="F122" i="10"/>
  <c r="E8" i="13"/>
  <c r="D92" i="13"/>
  <c r="C69" i="10"/>
  <c r="D69" i="10"/>
  <c r="D67" i="10"/>
  <c r="E9" i="9"/>
  <c r="F69" i="10"/>
  <c r="C70" i="10"/>
  <c r="D70" i="10"/>
  <c r="F70" i="10"/>
  <c r="C71" i="10"/>
  <c r="D71" i="10"/>
  <c r="F71" i="10"/>
  <c r="C72" i="10"/>
  <c r="D72" i="10"/>
  <c r="F72" i="10"/>
  <c r="C73" i="10"/>
  <c r="D73" i="10"/>
  <c r="F73" i="10"/>
  <c r="C74" i="10"/>
  <c r="D74" i="10"/>
  <c r="F74" i="10"/>
  <c r="C75" i="10"/>
  <c r="D75" i="10"/>
  <c r="F75" i="10"/>
  <c r="C76" i="10"/>
  <c r="D76" i="10"/>
  <c r="F76" i="10"/>
  <c r="C77" i="10"/>
  <c r="D77" i="10"/>
  <c r="F77" i="10"/>
  <c r="C78" i="10"/>
  <c r="D78" i="10"/>
  <c r="F78" i="10"/>
  <c r="F79" i="10"/>
  <c r="C81" i="10"/>
  <c r="D81" i="10"/>
  <c r="F81" i="10"/>
  <c r="C82" i="10"/>
  <c r="D82" i="10"/>
  <c r="F82" i="10"/>
  <c r="C83" i="10"/>
  <c r="D83" i="10"/>
  <c r="F83" i="10"/>
  <c r="C84" i="10"/>
  <c r="D84" i="10"/>
  <c r="F84" i="10"/>
  <c r="C85" i="10"/>
  <c r="D85" i="10"/>
  <c r="F85" i="10"/>
  <c r="C86" i="10"/>
  <c r="D86" i="10"/>
  <c r="F86" i="10"/>
  <c r="C87" i="10"/>
  <c r="D87" i="10"/>
  <c r="F87" i="10"/>
  <c r="C88" i="10"/>
  <c r="D88" i="10"/>
  <c r="F88" i="10"/>
  <c r="C89" i="10"/>
  <c r="D89" i="10"/>
  <c r="F89" i="10"/>
  <c r="C90" i="10"/>
  <c r="D90" i="10"/>
  <c r="F90" i="10"/>
  <c r="F91" i="10"/>
  <c r="E7" i="13"/>
  <c r="D91" i="13"/>
  <c r="C38" i="10"/>
  <c r="D38" i="10"/>
  <c r="D36" i="10"/>
  <c r="E8" i="9"/>
  <c r="F38" i="10"/>
  <c r="C39" i="10"/>
  <c r="D39" i="10"/>
  <c r="F39" i="10"/>
  <c r="C40" i="10"/>
  <c r="D40" i="10"/>
  <c r="F40" i="10"/>
  <c r="C41" i="10"/>
  <c r="D41" i="10"/>
  <c r="F41" i="10"/>
  <c r="C42" i="10"/>
  <c r="D42" i="10"/>
  <c r="F42" i="10"/>
  <c r="C43" i="10"/>
  <c r="D43" i="10"/>
  <c r="F43" i="10"/>
  <c r="C44" i="10"/>
  <c r="D44" i="10"/>
  <c r="F44" i="10"/>
  <c r="C45" i="10"/>
  <c r="D45" i="10"/>
  <c r="F45" i="10"/>
  <c r="C46" i="10"/>
  <c r="D46" i="10"/>
  <c r="F46" i="10"/>
  <c r="C47" i="10"/>
  <c r="D47" i="10"/>
  <c r="F47" i="10"/>
  <c r="F48" i="10"/>
  <c r="C50" i="10"/>
  <c r="D50" i="10"/>
  <c r="F50" i="10"/>
  <c r="C51" i="10"/>
  <c r="D51" i="10"/>
  <c r="F51" i="10"/>
  <c r="C52" i="10"/>
  <c r="D52" i="10"/>
  <c r="F52" i="10"/>
  <c r="C53" i="10"/>
  <c r="D53" i="10"/>
  <c r="F53" i="10"/>
  <c r="C54" i="10"/>
  <c r="D54" i="10"/>
  <c r="F54" i="10"/>
  <c r="C55" i="10"/>
  <c r="D55" i="10"/>
  <c r="F55" i="10"/>
  <c r="C56" i="10"/>
  <c r="D56" i="10"/>
  <c r="F56" i="10"/>
  <c r="C57" i="10"/>
  <c r="D57" i="10"/>
  <c r="F57" i="10"/>
  <c r="C58" i="10"/>
  <c r="D58" i="10"/>
  <c r="F58" i="10"/>
  <c r="C59" i="10"/>
  <c r="D59" i="10"/>
  <c r="F59" i="10"/>
  <c r="F60" i="10"/>
  <c r="E6" i="13"/>
  <c r="D90" i="13"/>
  <c r="C7" i="10"/>
  <c r="D7" i="10"/>
  <c r="D5" i="10"/>
  <c r="E7" i="9"/>
  <c r="F7" i="10"/>
  <c r="C8" i="10"/>
  <c r="D8" i="10"/>
  <c r="F8" i="10"/>
  <c r="C9" i="10"/>
  <c r="D9" i="10"/>
  <c r="F9" i="10"/>
  <c r="C10" i="10"/>
  <c r="D10" i="10"/>
  <c r="F10" i="10"/>
  <c r="C11" i="10"/>
  <c r="D11" i="10"/>
  <c r="F11" i="10"/>
  <c r="C12" i="10"/>
  <c r="D12" i="10"/>
  <c r="F12" i="10"/>
  <c r="C13" i="10"/>
  <c r="D13" i="10"/>
  <c r="F13" i="10"/>
  <c r="C14" i="10"/>
  <c r="D14" i="10"/>
  <c r="F14" i="10"/>
  <c r="C15" i="10"/>
  <c r="D15" i="10"/>
  <c r="F15" i="10"/>
  <c r="C16" i="10"/>
  <c r="D16" i="10"/>
  <c r="F16" i="10"/>
  <c r="F17" i="10"/>
  <c r="C19" i="10"/>
  <c r="D19" i="10"/>
  <c r="F19" i="10"/>
  <c r="C20" i="10"/>
  <c r="D20" i="10"/>
  <c r="F20" i="10"/>
  <c r="C21" i="10"/>
  <c r="D21" i="10"/>
  <c r="F21" i="10"/>
  <c r="C22" i="10"/>
  <c r="D22" i="10"/>
  <c r="F22" i="10"/>
  <c r="C23" i="10"/>
  <c r="D23" i="10"/>
  <c r="F23" i="10"/>
  <c r="C24" i="10"/>
  <c r="D24" i="10"/>
  <c r="F24" i="10"/>
  <c r="C25" i="10"/>
  <c r="D25" i="10"/>
  <c r="F25" i="10"/>
  <c r="C26" i="10"/>
  <c r="D26" i="10"/>
  <c r="F26" i="10"/>
  <c r="C27" i="10"/>
  <c r="D27" i="10"/>
  <c r="F27" i="10"/>
  <c r="C28" i="10"/>
  <c r="D28" i="10"/>
  <c r="F28" i="10"/>
  <c r="F29" i="10"/>
  <c r="E5" i="13"/>
  <c r="D89" i="13"/>
  <c r="C20" i="13"/>
  <c r="C21" i="13"/>
  <c r="B22" i="13"/>
  <c r="C4" i="13"/>
  <c r="C22" i="13"/>
  <c r="B23" i="13"/>
  <c r="C23" i="13"/>
  <c r="B24" i="13"/>
  <c r="C24" i="13"/>
  <c r="B25" i="13"/>
  <c r="C25" i="13"/>
  <c r="B26" i="13"/>
  <c r="C26" i="13"/>
  <c r="B27" i="13"/>
  <c r="C27" i="13"/>
  <c r="B28" i="13"/>
  <c r="C28" i="13"/>
  <c r="B29" i="13"/>
  <c r="C29" i="13"/>
  <c r="B30" i="13"/>
  <c r="C30" i="13"/>
  <c r="B31" i="13"/>
  <c r="C31" i="13"/>
  <c r="C32" i="13"/>
  <c r="D22" i="13"/>
  <c r="D23" i="13"/>
  <c r="D24" i="13"/>
  <c r="D25" i="13"/>
  <c r="D26" i="13"/>
  <c r="D27" i="13"/>
  <c r="D28" i="13"/>
  <c r="D29" i="13"/>
  <c r="D30" i="13"/>
  <c r="D31" i="13"/>
  <c r="D32" i="13"/>
  <c r="E32" i="13"/>
  <c r="J33" i="18"/>
  <c r="K33" i="18"/>
  <c r="L33" i="18"/>
  <c r="H20" i="13"/>
  <c r="H21" i="13"/>
  <c r="H22" i="13"/>
  <c r="H23" i="13"/>
  <c r="H24" i="13"/>
  <c r="H25" i="13"/>
  <c r="H26" i="13"/>
  <c r="H27" i="13"/>
  <c r="H28" i="13"/>
  <c r="H29" i="13"/>
  <c r="H30" i="13"/>
  <c r="H31" i="13"/>
  <c r="H32" i="13"/>
  <c r="I22" i="13"/>
  <c r="I23" i="13"/>
  <c r="I24" i="13"/>
  <c r="I25" i="13"/>
  <c r="I26" i="13"/>
  <c r="I27" i="13"/>
  <c r="I28" i="13"/>
  <c r="I29" i="13"/>
  <c r="I30" i="13"/>
  <c r="I31" i="13"/>
  <c r="I32" i="13"/>
  <c r="J32" i="13"/>
  <c r="J34" i="18"/>
  <c r="K34" i="18"/>
  <c r="L34" i="18"/>
  <c r="C37" i="13"/>
  <c r="C38" i="13"/>
  <c r="B39" i="13"/>
  <c r="C39" i="13"/>
  <c r="B40" i="13"/>
  <c r="C40" i="13"/>
  <c r="B41" i="13"/>
  <c r="C41" i="13"/>
  <c r="B42" i="13"/>
  <c r="C42" i="13"/>
  <c r="B43" i="13"/>
  <c r="C43" i="13"/>
  <c r="B44" i="13"/>
  <c r="C44" i="13"/>
  <c r="B45" i="13"/>
  <c r="C45" i="13"/>
  <c r="B46" i="13"/>
  <c r="C46" i="13"/>
  <c r="B47" i="13"/>
  <c r="C47" i="13"/>
  <c r="B48" i="13"/>
  <c r="C48" i="13"/>
  <c r="C49" i="13"/>
  <c r="D39" i="13"/>
  <c r="D40" i="13"/>
  <c r="D41" i="13"/>
  <c r="D42" i="13"/>
  <c r="D43" i="13"/>
  <c r="D44" i="13"/>
  <c r="D45" i="13"/>
  <c r="D46" i="13"/>
  <c r="D47" i="13"/>
  <c r="D48" i="13"/>
  <c r="D49" i="13"/>
  <c r="E49" i="13"/>
  <c r="J35" i="18"/>
  <c r="K35" i="18"/>
  <c r="L35" i="18"/>
  <c r="H37" i="13"/>
  <c r="H38" i="13"/>
  <c r="H39" i="13"/>
  <c r="H40" i="13"/>
  <c r="H41" i="13"/>
  <c r="H42" i="13"/>
  <c r="H43" i="13"/>
  <c r="H44" i="13"/>
  <c r="H45" i="13"/>
  <c r="H46" i="13"/>
  <c r="H47" i="13"/>
  <c r="H48" i="13"/>
  <c r="H49" i="13"/>
  <c r="I39" i="13"/>
  <c r="I40" i="13"/>
  <c r="I41" i="13"/>
  <c r="I42" i="13"/>
  <c r="I43" i="13"/>
  <c r="I44" i="13"/>
  <c r="I45" i="13"/>
  <c r="I46" i="13"/>
  <c r="I47" i="13"/>
  <c r="I48" i="13"/>
  <c r="I49" i="13"/>
  <c r="J49" i="13"/>
  <c r="J36" i="18"/>
  <c r="K36" i="18"/>
  <c r="L36" i="18"/>
  <c r="C54" i="13"/>
  <c r="C55" i="13"/>
  <c r="B56" i="13"/>
  <c r="C56" i="13"/>
  <c r="B57" i="13"/>
  <c r="C57" i="13"/>
  <c r="B58" i="13"/>
  <c r="C58" i="13"/>
  <c r="B59" i="13"/>
  <c r="C59" i="13"/>
  <c r="B60" i="13"/>
  <c r="C60" i="13"/>
  <c r="B61" i="13"/>
  <c r="C61" i="13"/>
  <c r="B62" i="13"/>
  <c r="C62" i="13"/>
  <c r="B63" i="13"/>
  <c r="C63" i="13"/>
  <c r="B64" i="13"/>
  <c r="C64" i="13"/>
  <c r="B65" i="13"/>
  <c r="C65" i="13"/>
  <c r="C66" i="13"/>
  <c r="D56" i="13"/>
  <c r="D57" i="13"/>
  <c r="D58" i="13"/>
  <c r="D59" i="13"/>
  <c r="D60" i="13"/>
  <c r="D61" i="13"/>
  <c r="D62" i="13"/>
  <c r="D63" i="13"/>
  <c r="D64" i="13"/>
  <c r="D65" i="13"/>
  <c r="D66" i="13"/>
  <c r="E66" i="13"/>
  <c r="J37" i="18"/>
  <c r="K37" i="18"/>
  <c r="L37" i="18"/>
  <c r="C71" i="13"/>
  <c r="C72" i="13"/>
  <c r="B73" i="13"/>
  <c r="C73" i="13"/>
  <c r="B74" i="13"/>
  <c r="C74" i="13"/>
  <c r="B75" i="13"/>
  <c r="C75" i="13"/>
  <c r="B76" i="13"/>
  <c r="C76" i="13"/>
  <c r="B77" i="13"/>
  <c r="C77" i="13"/>
  <c r="B78" i="13"/>
  <c r="C78" i="13"/>
  <c r="B79" i="13"/>
  <c r="C79" i="13"/>
  <c r="B80" i="13"/>
  <c r="C80" i="13"/>
  <c r="B81" i="13"/>
  <c r="C81" i="13"/>
  <c r="B82" i="13"/>
  <c r="C82" i="13"/>
  <c r="C83" i="13"/>
  <c r="D73" i="13"/>
  <c r="D74" i="13"/>
  <c r="D75" i="13"/>
  <c r="D76" i="13"/>
  <c r="D77" i="13"/>
  <c r="D78" i="13"/>
  <c r="D79" i="13"/>
  <c r="D80" i="13"/>
  <c r="D81" i="13"/>
  <c r="D82" i="13"/>
  <c r="D83" i="13"/>
  <c r="E83" i="13"/>
  <c r="J38" i="18"/>
  <c r="K38" i="18"/>
  <c r="L38" i="18"/>
  <c r="H71" i="13"/>
  <c r="H72" i="13"/>
  <c r="H73" i="13"/>
  <c r="H74" i="13"/>
  <c r="H75" i="13"/>
  <c r="H76" i="13"/>
  <c r="H77" i="13"/>
  <c r="H78" i="13"/>
  <c r="H79" i="13"/>
  <c r="H80" i="13"/>
  <c r="H81" i="13"/>
  <c r="H82" i="13"/>
  <c r="H83" i="13"/>
  <c r="I73" i="13"/>
  <c r="I74" i="13"/>
  <c r="I75" i="13"/>
  <c r="I76" i="13"/>
  <c r="I77" i="13"/>
  <c r="I78" i="13"/>
  <c r="I79" i="13"/>
  <c r="I80" i="13"/>
  <c r="I81" i="13"/>
  <c r="I82" i="13"/>
  <c r="I83" i="13"/>
  <c r="J83" i="13"/>
  <c r="J39" i="18"/>
  <c r="K39" i="18"/>
  <c r="L39" i="18"/>
  <c r="C87" i="13"/>
  <c r="C88" i="13"/>
  <c r="B89" i="13"/>
  <c r="C89" i="13"/>
  <c r="B90" i="13"/>
  <c r="C90" i="13"/>
  <c r="B91" i="13"/>
  <c r="C91" i="13"/>
  <c r="B92" i="13"/>
  <c r="C92" i="13"/>
  <c r="B93" i="13"/>
  <c r="C93" i="13"/>
  <c r="B94" i="13"/>
  <c r="C94" i="13"/>
  <c r="B95" i="13"/>
  <c r="C95" i="13"/>
  <c r="B96" i="13"/>
  <c r="C96" i="13"/>
  <c r="B97" i="13"/>
  <c r="C97" i="13"/>
  <c r="B98" i="13"/>
  <c r="C98" i="13"/>
  <c r="C99" i="13"/>
  <c r="D99" i="13"/>
  <c r="E99" i="13"/>
  <c r="J40" i="18"/>
  <c r="K40" i="18"/>
  <c r="L40" i="18"/>
  <c r="L41" i="18"/>
  <c r="I7" i="9"/>
  <c r="I8" i="9"/>
  <c r="I9" i="9"/>
  <c r="I10" i="9"/>
  <c r="I11" i="9"/>
  <c r="I12" i="9"/>
  <c r="I13" i="9"/>
  <c r="I14" i="9"/>
  <c r="I15" i="9"/>
  <c r="I16" i="9"/>
  <c r="I17" i="9"/>
  <c r="T41" i="18"/>
  <c r="K41" i="18"/>
  <c r="S41" i="18"/>
  <c r="J41" i="18"/>
  <c r="R41" i="18"/>
  <c r="P41" i="18"/>
  <c r="O41" i="18"/>
  <c r="N41" i="18"/>
  <c r="D6" i="16"/>
  <c r="D7" i="16"/>
  <c r="A7" i="16"/>
  <c r="C8" i="16"/>
  <c r="D8" i="16"/>
  <c r="A8" i="16"/>
  <c r="C9" i="16"/>
  <c r="D9" i="16"/>
  <c r="A9" i="16"/>
  <c r="C10" i="16"/>
  <c r="D10" i="16"/>
  <c r="A10" i="16"/>
  <c r="C11" i="16"/>
  <c r="D11" i="16"/>
  <c r="A11" i="16"/>
  <c r="C12" i="16"/>
  <c r="D12" i="16"/>
  <c r="A12" i="16"/>
  <c r="C13" i="16"/>
  <c r="D13" i="16"/>
  <c r="A13" i="16"/>
  <c r="C14" i="16"/>
  <c r="D14" i="16"/>
  <c r="A14" i="16"/>
  <c r="C15" i="16"/>
  <c r="D15" i="16"/>
  <c r="A15" i="16"/>
  <c r="C16" i="16"/>
  <c r="D16" i="16"/>
  <c r="A16" i="16"/>
  <c r="D17" i="16"/>
  <c r="A17" i="16"/>
  <c r="D20" i="16"/>
  <c r="A20" i="16"/>
  <c r="C21" i="16"/>
  <c r="D21" i="16"/>
  <c r="A21" i="16"/>
  <c r="C22" i="16"/>
  <c r="D22" i="16"/>
  <c r="A22" i="16"/>
  <c r="C23" i="16"/>
  <c r="D23" i="16"/>
  <c r="A23" i="16"/>
  <c r="C24" i="16"/>
  <c r="D24" i="16"/>
  <c r="A24" i="16"/>
  <c r="C25" i="16"/>
  <c r="D25" i="16"/>
  <c r="A25" i="16"/>
  <c r="C26" i="16"/>
  <c r="D26" i="16"/>
  <c r="A26" i="16"/>
  <c r="C27" i="16"/>
  <c r="D27" i="16"/>
  <c r="A27" i="16"/>
  <c r="C28" i="16"/>
  <c r="D28" i="16"/>
  <c r="A28" i="16"/>
  <c r="C29" i="16"/>
  <c r="D29" i="16"/>
  <c r="A29" i="16"/>
  <c r="D30" i="16"/>
  <c r="A30" i="16"/>
  <c r="D33" i="16"/>
  <c r="A33" i="16"/>
  <c r="C34" i="16"/>
  <c r="D34" i="16"/>
  <c r="A34" i="16"/>
  <c r="C35" i="16"/>
  <c r="D35" i="16"/>
  <c r="A35" i="16"/>
  <c r="C36" i="16"/>
  <c r="D36" i="16"/>
  <c r="A36" i="16"/>
  <c r="C37" i="16"/>
  <c r="D37" i="16"/>
  <c r="A37" i="16"/>
  <c r="C38" i="16"/>
  <c r="D38" i="16"/>
  <c r="A38" i="16"/>
  <c r="C39" i="16"/>
  <c r="D39" i="16"/>
  <c r="A39" i="16"/>
  <c r="C40" i="16"/>
  <c r="D40" i="16"/>
  <c r="A40" i="16"/>
  <c r="C41" i="16"/>
  <c r="D41" i="16"/>
  <c r="A41" i="16"/>
  <c r="C42" i="16"/>
  <c r="D42" i="16"/>
  <c r="A42" i="16"/>
  <c r="D43" i="16"/>
  <c r="A43" i="16"/>
  <c r="D46" i="16"/>
  <c r="A46" i="16"/>
  <c r="C47" i="16"/>
  <c r="D47" i="16"/>
  <c r="A47" i="16"/>
  <c r="C48" i="16"/>
  <c r="D48" i="16"/>
  <c r="A48" i="16"/>
  <c r="C49" i="16"/>
  <c r="D49" i="16"/>
  <c r="A49" i="16"/>
  <c r="C50" i="16"/>
  <c r="D50" i="16"/>
  <c r="A50" i="16"/>
  <c r="C51" i="16"/>
  <c r="D51" i="16"/>
  <c r="A51" i="16"/>
  <c r="C52" i="16"/>
  <c r="D52" i="16"/>
  <c r="A52" i="16"/>
  <c r="C53" i="16"/>
  <c r="D53" i="16"/>
  <c r="A53" i="16"/>
  <c r="C54" i="16"/>
  <c r="D54" i="16"/>
  <c r="A54" i="16"/>
  <c r="C55" i="16"/>
  <c r="D55" i="16"/>
  <c r="A55" i="16"/>
  <c r="D56" i="16"/>
  <c r="A56" i="16"/>
  <c r="D59" i="16"/>
  <c r="A59" i="16"/>
  <c r="C60" i="16"/>
  <c r="D60" i="16"/>
  <c r="A60" i="16"/>
  <c r="C61" i="16"/>
  <c r="D61" i="16"/>
  <c r="A61" i="16"/>
  <c r="C62" i="16"/>
  <c r="D62" i="16"/>
  <c r="A62" i="16"/>
  <c r="C63" i="16"/>
  <c r="D63" i="16"/>
  <c r="A63" i="16"/>
  <c r="C64" i="16"/>
  <c r="D64" i="16"/>
  <c r="A64" i="16"/>
  <c r="C65" i="16"/>
  <c r="D65" i="16"/>
  <c r="A65" i="16"/>
  <c r="C66" i="16"/>
  <c r="D66" i="16"/>
  <c r="A66" i="16"/>
  <c r="C67" i="16"/>
  <c r="D67" i="16"/>
  <c r="A67" i="16"/>
  <c r="C68" i="16"/>
  <c r="D68" i="16"/>
  <c r="A68" i="16"/>
  <c r="D69" i="16"/>
  <c r="A69" i="16"/>
  <c r="D72" i="16"/>
  <c r="A72" i="16"/>
  <c r="C73" i="16"/>
  <c r="D73" i="16"/>
  <c r="A73" i="16"/>
  <c r="C74" i="16"/>
  <c r="D74" i="16"/>
  <c r="A74" i="16"/>
  <c r="C75" i="16"/>
  <c r="D75" i="16"/>
  <c r="A75" i="16"/>
  <c r="C76" i="16"/>
  <c r="D76" i="16"/>
  <c r="A76" i="16"/>
  <c r="C77" i="16"/>
  <c r="D77" i="16"/>
  <c r="A77" i="16"/>
  <c r="C78" i="16"/>
  <c r="D78" i="16"/>
  <c r="A78" i="16"/>
  <c r="C79" i="16"/>
  <c r="D79" i="16"/>
  <c r="A79" i="16"/>
  <c r="C80" i="16"/>
  <c r="D80" i="16"/>
  <c r="A80" i="16"/>
  <c r="C81" i="16"/>
  <c r="D81" i="16"/>
  <c r="A81" i="16"/>
  <c r="D82" i="16"/>
  <c r="A82" i="16"/>
  <c r="D85" i="16"/>
  <c r="A85" i="16"/>
  <c r="C86" i="16"/>
  <c r="D86" i="16"/>
  <c r="A86" i="16"/>
  <c r="C87" i="16"/>
  <c r="D87" i="16"/>
  <c r="A87" i="16"/>
  <c r="C88" i="16"/>
  <c r="D88" i="16"/>
  <c r="A88" i="16"/>
  <c r="C89" i="16"/>
  <c r="D89" i="16"/>
  <c r="A89" i="16"/>
  <c r="C90" i="16"/>
  <c r="D90" i="16"/>
  <c r="A90" i="16"/>
  <c r="C91" i="16"/>
  <c r="D91" i="16"/>
  <c r="A91" i="16"/>
  <c r="C92" i="16"/>
  <c r="D92" i="16"/>
  <c r="A92" i="16"/>
  <c r="C93" i="16"/>
  <c r="D93" i="16"/>
  <c r="A93" i="16"/>
  <c r="C94" i="16"/>
  <c r="D94" i="16"/>
  <c r="A94" i="16"/>
  <c r="D95" i="16"/>
  <c r="A95" i="16"/>
  <c r="D98" i="16"/>
  <c r="A98" i="16"/>
  <c r="C99" i="16"/>
  <c r="D99" i="16"/>
  <c r="A99" i="16"/>
  <c r="C100" i="16"/>
  <c r="D100" i="16"/>
  <c r="A100" i="16"/>
  <c r="C101" i="16"/>
  <c r="D101" i="16"/>
  <c r="A101" i="16"/>
  <c r="C102" i="16"/>
  <c r="D102" i="16"/>
  <c r="A102" i="16"/>
  <c r="C103" i="16"/>
  <c r="D103" i="16"/>
  <c r="A103" i="16"/>
  <c r="C104" i="16"/>
  <c r="D104" i="16"/>
  <c r="A104" i="16"/>
  <c r="C105" i="16"/>
  <c r="D105" i="16"/>
  <c r="A105" i="16"/>
  <c r="C106" i="16"/>
  <c r="D106" i="16"/>
  <c r="A106" i="16"/>
  <c r="C107" i="16"/>
  <c r="D107" i="16"/>
  <c r="A107" i="16"/>
  <c r="D108" i="16"/>
  <c r="A108" i="16"/>
  <c r="D111" i="16"/>
  <c r="A111" i="16"/>
  <c r="C112" i="16"/>
  <c r="D112" i="16"/>
  <c r="A112" i="16"/>
  <c r="C113" i="16"/>
  <c r="D113" i="16"/>
  <c r="A113" i="16"/>
  <c r="C114" i="16"/>
  <c r="D114" i="16"/>
  <c r="A114" i="16"/>
  <c r="C115" i="16"/>
  <c r="D115" i="16"/>
  <c r="A115" i="16"/>
  <c r="C116" i="16"/>
  <c r="D116" i="16"/>
  <c r="A116" i="16"/>
  <c r="C117" i="16"/>
  <c r="D117" i="16"/>
  <c r="A117" i="16"/>
  <c r="C118" i="16"/>
  <c r="D118" i="16"/>
  <c r="A118" i="16"/>
  <c r="C119" i="16"/>
  <c r="D119" i="16"/>
  <c r="A119" i="16"/>
  <c r="C120" i="16"/>
  <c r="D120" i="16"/>
  <c r="A120" i="16"/>
  <c r="D121" i="16"/>
  <c r="A121" i="16"/>
  <c r="D124" i="16"/>
  <c r="A124" i="16"/>
  <c r="C125" i="16"/>
  <c r="D125" i="16"/>
  <c r="A125" i="16"/>
  <c r="C126" i="16"/>
  <c r="D126" i="16"/>
  <c r="A126" i="16"/>
  <c r="C127" i="16"/>
  <c r="D127" i="16"/>
  <c r="A127" i="16"/>
  <c r="C128" i="16"/>
  <c r="D128" i="16"/>
  <c r="A128" i="16"/>
  <c r="C129" i="16"/>
  <c r="D129" i="16"/>
  <c r="A129" i="16"/>
  <c r="C130" i="16"/>
  <c r="D130" i="16"/>
  <c r="A130" i="16"/>
  <c r="C131" i="16"/>
  <c r="D131" i="16"/>
  <c r="A131" i="16"/>
  <c r="C132" i="16"/>
  <c r="D132" i="16"/>
  <c r="A132" i="16"/>
  <c r="C133" i="16"/>
  <c r="D133" i="16"/>
  <c r="A133" i="16"/>
  <c r="D134" i="16"/>
  <c r="A134" i="16"/>
  <c r="L6" i="18"/>
  <c r="G4" i="16"/>
  <c r="G1" i="16"/>
  <c r="H4" i="16"/>
  <c r="H1" i="16"/>
  <c r="I4" i="16"/>
  <c r="I1" i="16"/>
  <c r="K4" i="16"/>
  <c r="K1" i="16"/>
  <c r="L4" i="16"/>
  <c r="L1" i="16"/>
  <c r="M4" i="16"/>
  <c r="M1" i="16"/>
  <c r="O4" i="16"/>
  <c r="O1" i="16"/>
  <c r="P4" i="16"/>
  <c r="P1" i="16"/>
  <c r="Q4" i="16"/>
  <c r="Q1" i="16"/>
  <c r="S4" i="16"/>
  <c r="S1" i="16"/>
  <c r="T4" i="16"/>
  <c r="T1" i="16"/>
  <c r="U4" i="16"/>
  <c r="U1" i="16"/>
  <c r="D5" i="16"/>
  <c r="C7" i="11"/>
  <c r="D6" i="11"/>
  <c r="D7" i="11"/>
  <c r="A7" i="11"/>
  <c r="A7" i="10"/>
  <c r="A8" i="10"/>
  <c r="A9" i="10"/>
  <c r="A10" i="10"/>
  <c r="A11" i="10"/>
  <c r="A12" i="10"/>
  <c r="A13" i="10"/>
  <c r="A14" i="10"/>
  <c r="A15" i="10"/>
  <c r="A16" i="10"/>
  <c r="A19" i="10"/>
  <c r="A20" i="10"/>
  <c r="A21" i="10"/>
  <c r="A22" i="10"/>
  <c r="A23" i="10"/>
  <c r="A24" i="10"/>
  <c r="A25" i="10"/>
  <c r="A26" i="10"/>
  <c r="A27" i="10"/>
  <c r="A28" i="10"/>
  <c r="A31" i="10"/>
  <c r="A38" i="10"/>
  <c r="A39" i="10"/>
  <c r="A40" i="10"/>
  <c r="A41" i="10"/>
  <c r="A42" i="10"/>
  <c r="A43" i="10"/>
  <c r="A44" i="10"/>
  <c r="A45" i="10"/>
  <c r="A46" i="10"/>
  <c r="A47" i="10"/>
  <c r="A50" i="10"/>
  <c r="A51" i="10"/>
  <c r="A52" i="10"/>
  <c r="A53" i="10"/>
  <c r="A54" i="10"/>
  <c r="A55" i="10"/>
  <c r="A56" i="10"/>
  <c r="A57" i="10"/>
  <c r="A58" i="10"/>
  <c r="A59" i="10"/>
  <c r="A69" i="10"/>
  <c r="A70" i="10"/>
  <c r="A71" i="10"/>
  <c r="A72" i="10"/>
  <c r="A73" i="10"/>
  <c r="A74" i="10"/>
  <c r="A75" i="10"/>
  <c r="A76" i="10"/>
  <c r="A77" i="10"/>
  <c r="A78" i="10"/>
  <c r="A81" i="10"/>
  <c r="A82" i="10"/>
  <c r="A83" i="10"/>
  <c r="A84" i="10"/>
  <c r="A85" i="10"/>
  <c r="A86" i="10"/>
  <c r="A87" i="10"/>
  <c r="A88" i="10"/>
  <c r="A89" i="10"/>
  <c r="A90" i="10"/>
  <c r="A100" i="10"/>
  <c r="A101" i="10"/>
  <c r="A102" i="10"/>
  <c r="A103" i="10"/>
  <c r="A104" i="10"/>
  <c r="A105" i="10"/>
  <c r="A106" i="10"/>
  <c r="A107" i="10"/>
  <c r="A108" i="10"/>
  <c r="A109" i="10"/>
  <c r="A112" i="10"/>
  <c r="A113" i="10"/>
  <c r="A114" i="10"/>
  <c r="A115" i="10"/>
  <c r="A116" i="10"/>
  <c r="A117" i="10"/>
  <c r="A118" i="10"/>
  <c r="A119" i="10"/>
  <c r="A120" i="10"/>
  <c r="A121" i="10"/>
  <c r="A131" i="10"/>
  <c r="A132" i="10"/>
  <c r="A133" i="10"/>
  <c r="A134" i="10"/>
  <c r="A135" i="10"/>
  <c r="A136" i="10"/>
  <c r="A137" i="10"/>
  <c r="A138" i="10"/>
  <c r="A139" i="10"/>
  <c r="A140" i="10"/>
  <c r="A143" i="10"/>
  <c r="A144" i="10"/>
  <c r="A145" i="10"/>
  <c r="A146" i="10"/>
  <c r="A147" i="10"/>
  <c r="A148" i="10"/>
  <c r="A149" i="10"/>
  <c r="A150" i="10"/>
  <c r="A151" i="10"/>
  <c r="A152" i="10"/>
  <c r="A162" i="10"/>
  <c r="A163" i="10"/>
  <c r="A164" i="10"/>
  <c r="A165" i="10"/>
  <c r="A166" i="10"/>
  <c r="A167" i="10"/>
  <c r="A168" i="10"/>
  <c r="A169" i="10"/>
  <c r="A170" i="10"/>
  <c r="A171" i="10"/>
  <c r="A174" i="10"/>
  <c r="A175" i="10"/>
  <c r="A176" i="10"/>
  <c r="A177" i="10"/>
  <c r="A178" i="10"/>
  <c r="A179" i="10"/>
  <c r="A180" i="10"/>
  <c r="A181" i="10"/>
  <c r="A182" i="10"/>
  <c r="A183" i="10"/>
  <c r="A193" i="10"/>
  <c r="A194" i="10"/>
  <c r="A195" i="10"/>
  <c r="A196" i="10"/>
  <c r="A197" i="10"/>
  <c r="A198" i="10"/>
  <c r="A199" i="10"/>
  <c r="A200" i="10"/>
  <c r="A201" i="10"/>
  <c r="A202" i="10"/>
  <c r="A205" i="10"/>
  <c r="A206" i="10"/>
  <c r="A207" i="10"/>
  <c r="A208" i="10"/>
  <c r="A209" i="10"/>
  <c r="A210" i="10"/>
  <c r="A211" i="10"/>
  <c r="A212" i="10"/>
  <c r="A213" i="10"/>
  <c r="A214" i="10"/>
  <c r="A224" i="10"/>
  <c r="A225" i="10"/>
  <c r="A226" i="10"/>
  <c r="A227" i="10"/>
  <c r="A228" i="10"/>
  <c r="A229" i="10"/>
  <c r="A230" i="10"/>
  <c r="A231" i="10"/>
  <c r="A232" i="10"/>
  <c r="A233" i="10"/>
  <c r="A236" i="10"/>
  <c r="A237" i="10"/>
  <c r="A238" i="10"/>
  <c r="A239" i="10"/>
  <c r="A240" i="10"/>
  <c r="A241" i="10"/>
  <c r="A242" i="10"/>
  <c r="A243" i="10"/>
  <c r="A244" i="10"/>
  <c r="A245" i="10"/>
  <c r="A255" i="10"/>
  <c r="A256" i="10"/>
  <c r="A257" i="10"/>
  <c r="A258" i="10"/>
  <c r="A259" i="10"/>
  <c r="A260" i="10"/>
  <c r="A261" i="10"/>
  <c r="A262" i="10"/>
  <c r="A263" i="10"/>
  <c r="A264" i="10"/>
  <c r="A267" i="10"/>
  <c r="A268" i="10"/>
  <c r="A269" i="10"/>
  <c r="A270" i="10"/>
  <c r="A271" i="10"/>
  <c r="A272" i="10"/>
  <c r="A273" i="10"/>
  <c r="A274" i="10"/>
  <c r="A275" i="10"/>
  <c r="A276" i="10"/>
  <c r="A286" i="10"/>
  <c r="A287" i="10"/>
  <c r="A288" i="10"/>
  <c r="A289" i="10"/>
  <c r="A290" i="10"/>
  <c r="A291" i="10"/>
  <c r="A292" i="10"/>
  <c r="A293" i="10"/>
  <c r="A294" i="10"/>
  <c r="A295" i="10"/>
  <c r="A298" i="10"/>
  <c r="A299" i="10"/>
  <c r="A300" i="10"/>
  <c r="A301" i="10"/>
  <c r="A302" i="10"/>
  <c r="A303" i="10"/>
  <c r="A304" i="10"/>
  <c r="A305" i="10"/>
  <c r="A306" i="10"/>
  <c r="A307" i="10"/>
  <c r="E5" i="10"/>
  <c r="F7" i="11"/>
  <c r="L7" i="11"/>
  <c r="G7" i="16"/>
  <c r="H7" i="16"/>
  <c r="I7" i="16"/>
  <c r="N7" i="11"/>
  <c r="K7" i="16"/>
  <c r="L7" i="16"/>
  <c r="M7" i="16"/>
  <c r="O7" i="16"/>
  <c r="P7" i="16"/>
  <c r="Q7" i="16"/>
  <c r="S7" i="16"/>
  <c r="T7" i="16"/>
  <c r="U7" i="16"/>
  <c r="C8" i="11"/>
  <c r="D8" i="11"/>
  <c r="A8" i="11"/>
  <c r="F8" i="11"/>
  <c r="L8" i="11"/>
  <c r="G8" i="16"/>
  <c r="H8" i="16"/>
  <c r="I8" i="16"/>
  <c r="N8" i="11"/>
  <c r="K8" i="16"/>
  <c r="O8" i="11"/>
  <c r="L8" i="16"/>
  <c r="P8" i="11"/>
  <c r="M8" i="16"/>
  <c r="O8" i="16"/>
  <c r="P8" i="16"/>
  <c r="Q8" i="16"/>
  <c r="S8" i="16"/>
  <c r="T8" i="16"/>
  <c r="U8" i="16"/>
  <c r="C9" i="11"/>
  <c r="D9" i="11"/>
  <c r="A9" i="11"/>
  <c r="F9" i="11"/>
  <c r="L9" i="11"/>
  <c r="G9" i="16"/>
  <c r="H9" i="16"/>
  <c r="I9" i="16"/>
  <c r="N9" i="11"/>
  <c r="K9" i="16"/>
  <c r="O9" i="11"/>
  <c r="L9" i="16"/>
  <c r="P9" i="11"/>
  <c r="M9" i="16"/>
  <c r="O9" i="16"/>
  <c r="P9" i="16"/>
  <c r="Q9" i="16"/>
  <c r="S9" i="16"/>
  <c r="T9" i="16"/>
  <c r="U9" i="16"/>
  <c r="C10" i="11"/>
  <c r="D10" i="11"/>
  <c r="A10" i="11"/>
  <c r="F10" i="11"/>
  <c r="L10" i="11"/>
  <c r="G10" i="16"/>
  <c r="H10" i="16"/>
  <c r="I10" i="16"/>
  <c r="N10" i="11"/>
  <c r="K10" i="16"/>
  <c r="O10" i="11"/>
  <c r="L10" i="16"/>
  <c r="P10" i="11"/>
  <c r="M10" i="16"/>
  <c r="O10" i="16"/>
  <c r="P10" i="16"/>
  <c r="Q10" i="16"/>
  <c r="S10" i="16"/>
  <c r="T10" i="16"/>
  <c r="U10" i="16"/>
  <c r="C11" i="11"/>
  <c r="D11" i="11"/>
  <c r="A11" i="11"/>
  <c r="F11" i="11"/>
  <c r="L11" i="11"/>
  <c r="G11" i="16"/>
  <c r="H11" i="16"/>
  <c r="I11" i="16"/>
  <c r="N11" i="11"/>
  <c r="K11" i="16"/>
  <c r="O11" i="11"/>
  <c r="L11" i="16"/>
  <c r="P11" i="11"/>
  <c r="M11" i="16"/>
  <c r="O11" i="16"/>
  <c r="P11" i="16"/>
  <c r="Q11" i="16"/>
  <c r="S11" i="16"/>
  <c r="T11" i="16"/>
  <c r="U11" i="16"/>
  <c r="C12" i="11"/>
  <c r="D12" i="11"/>
  <c r="A12" i="11"/>
  <c r="F12" i="11"/>
  <c r="L12" i="11"/>
  <c r="G12" i="16"/>
  <c r="H12" i="16"/>
  <c r="I12" i="16"/>
  <c r="N12" i="11"/>
  <c r="K12" i="16"/>
  <c r="O12" i="11"/>
  <c r="L12" i="16"/>
  <c r="P12" i="11"/>
  <c r="M12" i="16"/>
  <c r="O12" i="16"/>
  <c r="P12" i="16"/>
  <c r="Q12" i="16"/>
  <c r="S12" i="16"/>
  <c r="T12" i="16"/>
  <c r="U12" i="16"/>
  <c r="C13" i="11"/>
  <c r="D13" i="11"/>
  <c r="A13" i="11"/>
  <c r="F13" i="11"/>
  <c r="L13" i="11"/>
  <c r="G13" i="16"/>
  <c r="H13" i="16"/>
  <c r="I13" i="16"/>
  <c r="N13" i="11"/>
  <c r="K13" i="16"/>
  <c r="O13" i="11"/>
  <c r="L13" i="16"/>
  <c r="P13" i="11"/>
  <c r="M13" i="16"/>
  <c r="O13" i="16"/>
  <c r="P13" i="16"/>
  <c r="Q13" i="16"/>
  <c r="S13" i="16"/>
  <c r="T13" i="16"/>
  <c r="U13" i="16"/>
  <c r="C14" i="11"/>
  <c r="D14" i="11"/>
  <c r="A14" i="11"/>
  <c r="F14" i="11"/>
  <c r="L14" i="11"/>
  <c r="G14" i="16"/>
  <c r="H14" i="16"/>
  <c r="I14" i="16"/>
  <c r="N14" i="11"/>
  <c r="K14" i="16"/>
  <c r="L14" i="16"/>
  <c r="M14" i="16"/>
  <c r="O14" i="16"/>
  <c r="P14" i="16"/>
  <c r="Q14" i="16"/>
  <c r="S14" i="16"/>
  <c r="T14" i="16"/>
  <c r="U14" i="16"/>
  <c r="C15" i="11"/>
  <c r="D15" i="11"/>
  <c r="A15" i="11"/>
  <c r="F15" i="11"/>
  <c r="L15" i="11"/>
  <c r="G15" i="16"/>
  <c r="H15" i="16"/>
  <c r="I15" i="16"/>
  <c r="N15" i="11"/>
  <c r="K15" i="16"/>
  <c r="O15" i="11"/>
  <c r="L15" i="16"/>
  <c r="P15" i="11"/>
  <c r="M15" i="16"/>
  <c r="O15" i="16"/>
  <c r="P15" i="16"/>
  <c r="Q15" i="16"/>
  <c r="S15" i="16"/>
  <c r="T15" i="16"/>
  <c r="U15" i="16"/>
  <c r="C16" i="11"/>
  <c r="D16" i="11"/>
  <c r="A16" i="11"/>
  <c r="F16" i="11"/>
  <c r="L16" i="11"/>
  <c r="G16" i="16"/>
  <c r="H16" i="16"/>
  <c r="I16" i="16"/>
  <c r="N16" i="11"/>
  <c r="K16" i="16"/>
  <c r="O16" i="11"/>
  <c r="L16" i="16"/>
  <c r="P16" i="11"/>
  <c r="M16" i="16"/>
  <c r="O16" i="16"/>
  <c r="P16" i="16"/>
  <c r="Q16" i="16"/>
  <c r="S16" i="16"/>
  <c r="T16" i="16"/>
  <c r="U16" i="16"/>
  <c r="G17" i="16"/>
  <c r="H17" i="16"/>
  <c r="I17" i="16"/>
  <c r="K17" i="16"/>
  <c r="L17" i="16"/>
  <c r="M17" i="16"/>
  <c r="O17" i="16"/>
  <c r="P17" i="16"/>
  <c r="Q17" i="16"/>
  <c r="S17" i="16"/>
  <c r="T17" i="16"/>
  <c r="U17" i="16"/>
  <c r="D19" i="16"/>
  <c r="C20" i="11"/>
  <c r="D20" i="11"/>
  <c r="A20" i="11"/>
  <c r="F20" i="11"/>
  <c r="L20" i="11"/>
  <c r="G20" i="16"/>
  <c r="H20" i="16"/>
  <c r="I20" i="16"/>
  <c r="N20" i="11"/>
  <c r="K20" i="16"/>
  <c r="O20" i="11"/>
  <c r="L20" i="16"/>
  <c r="P20" i="11"/>
  <c r="M20" i="16"/>
  <c r="O20" i="16"/>
  <c r="P20" i="16"/>
  <c r="Q20" i="16"/>
  <c r="S20" i="16"/>
  <c r="T20" i="16"/>
  <c r="U20" i="16"/>
  <c r="C21" i="11"/>
  <c r="D21" i="11"/>
  <c r="A21" i="11"/>
  <c r="F21" i="11"/>
  <c r="L21" i="11"/>
  <c r="G21" i="16"/>
  <c r="H21" i="16"/>
  <c r="I21" i="16"/>
  <c r="N21" i="11"/>
  <c r="K21" i="16"/>
  <c r="O21" i="11"/>
  <c r="L21" i="16"/>
  <c r="P21" i="11"/>
  <c r="M21" i="16"/>
  <c r="O21" i="16"/>
  <c r="P21" i="16"/>
  <c r="Q21" i="16"/>
  <c r="S21" i="16"/>
  <c r="T21" i="16"/>
  <c r="U21" i="16"/>
  <c r="C22" i="11"/>
  <c r="D22" i="11"/>
  <c r="A22" i="11"/>
  <c r="F22" i="11"/>
  <c r="L22" i="11"/>
  <c r="G22" i="16"/>
  <c r="H22" i="16"/>
  <c r="I22" i="16"/>
  <c r="N22" i="11"/>
  <c r="K22" i="16"/>
  <c r="O22" i="11"/>
  <c r="L22" i="16"/>
  <c r="P22" i="11"/>
  <c r="M22" i="16"/>
  <c r="O22" i="16"/>
  <c r="P22" i="16"/>
  <c r="Q22" i="16"/>
  <c r="S22" i="16"/>
  <c r="T22" i="16"/>
  <c r="U22" i="16"/>
  <c r="C23" i="11"/>
  <c r="D23" i="11"/>
  <c r="A23" i="11"/>
  <c r="F23" i="11"/>
  <c r="L23" i="11"/>
  <c r="G23" i="16"/>
  <c r="H23" i="16"/>
  <c r="I23" i="16"/>
  <c r="N23" i="11"/>
  <c r="K23" i="16"/>
  <c r="O23" i="11"/>
  <c r="L23" i="16"/>
  <c r="P23" i="11"/>
  <c r="M23" i="16"/>
  <c r="O23" i="16"/>
  <c r="P23" i="16"/>
  <c r="Q23" i="16"/>
  <c r="S23" i="16"/>
  <c r="T23" i="16"/>
  <c r="U23" i="16"/>
  <c r="C24" i="11"/>
  <c r="D24" i="11"/>
  <c r="A24" i="11"/>
  <c r="F24" i="11"/>
  <c r="L24" i="11"/>
  <c r="G24" i="16"/>
  <c r="H24" i="16"/>
  <c r="I24" i="16"/>
  <c r="N24" i="11"/>
  <c r="K24" i="16"/>
  <c r="O24" i="11"/>
  <c r="L24" i="16"/>
  <c r="P24" i="11"/>
  <c r="M24" i="16"/>
  <c r="O24" i="16"/>
  <c r="P24" i="16"/>
  <c r="Q24" i="16"/>
  <c r="S24" i="16"/>
  <c r="T24" i="16"/>
  <c r="U24" i="16"/>
  <c r="C25" i="11"/>
  <c r="D25" i="11"/>
  <c r="A25" i="11"/>
  <c r="F25" i="11"/>
  <c r="L25" i="11"/>
  <c r="G25" i="16"/>
  <c r="H25" i="16"/>
  <c r="I25" i="16"/>
  <c r="N25" i="11"/>
  <c r="K25" i="16"/>
  <c r="O25" i="11"/>
  <c r="L25" i="16"/>
  <c r="P25" i="11"/>
  <c r="M25" i="16"/>
  <c r="O25" i="16"/>
  <c r="P25" i="16"/>
  <c r="Q25" i="16"/>
  <c r="S25" i="16"/>
  <c r="T25" i="16"/>
  <c r="U25" i="16"/>
  <c r="C26" i="11"/>
  <c r="D26" i="11"/>
  <c r="A26" i="11"/>
  <c r="F26" i="11"/>
  <c r="L26" i="11"/>
  <c r="G26" i="16"/>
  <c r="H26" i="16"/>
  <c r="I26" i="16"/>
  <c r="K26" i="16"/>
  <c r="L26" i="16"/>
  <c r="M26" i="16"/>
  <c r="O26" i="16"/>
  <c r="P26" i="16"/>
  <c r="Q26" i="16"/>
  <c r="S26" i="16"/>
  <c r="T26" i="16"/>
  <c r="U26" i="16"/>
  <c r="C27" i="11"/>
  <c r="D27" i="11"/>
  <c r="A27" i="11"/>
  <c r="F27" i="11"/>
  <c r="L27" i="11"/>
  <c r="G27" i="16"/>
  <c r="H27" i="16"/>
  <c r="I27" i="16"/>
  <c r="K27" i="16"/>
  <c r="L27" i="16"/>
  <c r="M27" i="16"/>
  <c r="O27" i="16"/>
  <c r="P27" i="16"/>
  <c r="Q27" i="16"/>
  <c r="S27" i="16"/>
  <c r="T27" i="16"/>
  <c r="U27" i="16"/>
  <c r="C28" i="11"/>
  <c r="D28" i="11"/>
  <c r="A28" i="11"/>
  <c r="F28" i="11"/>
  <c r="L28" i="11"/>
  <c r="G28" i="16"/>
  <c r="H28" i="16"/>
  <c r="I28" i="16"/>
  <c r="N28" i="11"/>
  <c r="K28" i="16"/>
  <c r="O28" i="11"/>
  <c r="L28" i="16"/>
  <c r="P28" i="11"/>
  <c r="M28" i="16"/>
  <c r="O28" i="16"/>
  <c r="P28" i="16"/>
  <c r="Q28" i="16"/>
  <c r="S28" i="16"/>
  <c r="T28" i="16"/>
  <c r="U28" i="16"/>
  <c r="C29" i="11"/>
  <c r="D29" i="11"/>
  <c r="A29" i="11"/>
  <c r="F29" i="11"/>
  <c r="L29" i="11"/>
  <c r="G29" i="16"/>
  <c r="H29" i="16"/>
  <c r="I29" i="16"/>
  <c r="N29" i="11"/>
  <c r="K29" i="16"/>
  <c r="O29" i="11"/>
  <c r="L29" i="16"/>
  <c r="P29" i="11"/>
  <c r="M29" i="16"/>
  <c r="O29" i="16"/>
  <c r="P29" i="16"/>
  <c r="Q29" i="16"/>
  <c r="S29" i="16"/>
  <c r="T29" i="16"/>
  <c r="U29" i="16"/>
  <c r="G30" i="16"/>
  <c r="H30" i="16"/>
  <c r="I30" i="16"/>
  <c r="K30" i="16"/>
  <c r="L30" i="16"/>
  <c r="M30" i="16"/>
  <c r="O30" i="16"/>
  <c r="P30" i="16"/>
  <c r="Q30" i="16"/>
  <c r="S30" i="16"/>
  <c r="T30" i="16"/>
  <c r="U30" i="16"/>
  <c r="D32" i="16"/>
  <c r="C33" i="11"/>
  <c r="D33" i="11"/>
  <c r="A33" i="11"/>
  <c r="F33" i="11"/>
  <c r="L33" i="11"/>
  <c r="G33" i="16"/>
  <c r="H33" i="16"/>
  <c r="I33" i="16"/>
  <c r="N33" i="11"/>
  <c r="K33" i="16"/>
  <c r="O33" i="11"/>
  <c r="L33" i="16"/>
  <c r="P33" i="11"/>
  <c r="M33" i="16"/>
  <c r="O33" i="16"/>
  <c r="P33" i="16"/>
  <c r="Q33" i="16"/>
  <c r="S33" i="16"/>
  <c r="T33" i="16"/>
  <c r="U33" i="16"/>
  <c r="C34" i="11"/>
  <c r="D34" i="11"/>
  <c r="A34" i="11"/>
  <c r="F34" i="11"/>
  <c r="L34" i="11"/>
  <c r="G34" i="16"/>
  <c r="H34" i="16"/>
  <c r="I34" i="16"/>
  <c r="N34" i="11"/>
  <c r="K34" i="16"/>
  <c r="O34" i="11"/>
  <c r="L34" i="16"/>
  <c r="P34" i="11"/>
  <c r="M34" i="16"/>
  <c r="O34" i="16"/>
  <c r="P34" i="16"/>
  <c r="Q34" i="16"/>
  <c r="S34" i="16"/>
  <c r="T34" i="16"/>
  <c r="U34" i="16"/>
  <c r="C35" i="11"/>
  <c r="D35" i="11"/>
  <c r="A35" i="11"/>
  <c r="F35" i="11"/>
  <c r="L35" i="11"/>
  <c r="G35" i="16"/>
  <c r="H35" i="16"/>
  <c r="I35" i="16"/>
  <c r="N35" i="11"/>
  <c r="K35" i="16"/>
  <c r="O35" i="11"/>
  <c r="L35" i="16"/>
  <c r="P35" i="11"/>
  <c r="M35" i="16"/>
  <c r="O35" i="16"/>
  <c r="P35" i="16"/>
  <c r="Q35" i="16"/>
  <c r="S35" i="16"/>
  <c r="T35" i="16"/>
  <c r="U35" i="16"/>
  <c r="C36" i="11"/>
  <c r="D36" i="11"/>
  <c r="A36" i="11"/>
  <c r="F36" i="11"/>
  <c r="L36" i="11"/>
  <c r="G36" i="16"/>
  <c r="H36" i="16"/>
  <c r="I36" i="16"/>
  <c r="N36" i="11"/>
  <c r="K36" i="16"/>
  <c r="O36" i="11"/>
  <c r="L36" i="16"/>
  <c r="P36" i="11"/>
  <c r="M36" i="16"/>
  <c r="O36" i="16"/>
  <c r="P36" i="16"/>
  <c r="Q36" i="16"/>
  <c r="S36" i="16"/>
  <c r="T36" i="16"/>
  <c r="U36" i="16"/>
  <c r="C37" i="11"/>
  <c r="D37" i="11"/>
  <c r="A37" i="11"/>
  <c r="F37" i="11"/>
  <c r="L37" i="11"/>
  <c r="G37" i="16"/>
  <c r="H37" i="16"/>
  <c r="I37" i="16"/>
  <c r="N37" i="11"/>
  <c r="K37" i="16"/>
  <c r="L37" i="16"/>
  <c r="M37" i="16"/>
  <c r="O37" i="16"/>
  <c r="P37" i="16"/>
  <c r="Q37" i="16"/>
  <c r="S37" i="16"/>
  <c r="T37" i="16"/>
  <c r="U37" i="16"/>
  <c r="C38" i="11"/>
  <c r="D38" i="11"/>
  <c r="A38" i="11"/>
  <c r="F38" i="11"/>
  <c r="L38" i="11"/>
  <c r="G38" i="16"/>
  <c r="H38" i="16"/>
  <c r="I38" i="16"/>
  <c r="N38" i="11"/>
  <c r="K38" i="16"/>
  <c r="L38" i="16"/>
  <c r="M38" i="16"/>
  <c r="O38" i="16"/>
  <c r="P38" i="16"/>
  <c r="Q38" i="16"/>
  <c r="S38" i="16"/>
  <c r="T38" i="16"/>
  <c r="U38" i="16"/>
  <c r="C39" i="11"/>
  <c r="D39" i="11"/>
  <c r="A39" i="11"/>
  <c r="F39" i="11"/>
  <c r="L39" i="11"/>
  <c r="G39" i="16"/>
  <c r="H39" i="16"/>
  <c r="I39" i="16"/>
  <c r="N39" i="11"/>
  <c r="K39" i="16"/>
  <c r="O39" i="11"/>
  <c r="L39" i="16"/>
  <c r="P39" i="11"/>
  <c r="M39" i="16"/>
  <c r="O39" i="16"/>
  <c r="P39" i="16"/>
  <c r="Q39" i="16"/>
  <c r="S39" i="16"/>
  <c r="T39" i="16"/>
  <c r="U39" i="16"/>
  <c r="C40" i="11"/>
  <c r="D40" i="11"/>
  <c r="A40" i="11"/>
  <c r="F40" i="11"/>
  <c r="L40" i="11"/>
  <c r="G40" i="16"/>
  <c r="H40" i="16"/>
  <c r="I40" i="16"/>
  <c r="N40" i="11"/>
  <c r="K40" i="16"/>
  <c r="O40" i="11"/>
  <c r="L40" i="16"/>
  <c r="P40" i="11"/>
  <c r="M40" i="16"/>
  <c r="O40" i="16"/>
  <c r="P40" i="16"/>
  <c r="Q40" i="16"/>
  <c r="S40" i="16"/>
  <c r="T40" i="16"/>
  <c r="U40" i="16"/>
  <c r="C41" i="11"/>
  <c r="D41" i="11"/>
  <c r="A41" i="11"/>
  <c r="F41" i="11"/>
  <c r="L41" i="11"/>
  <c r="G41" i="16"/>
  <c r="H41" i="16"/>
  <c r="I41" i="16"/>
  <c r="N41" i="11"/>
  <c r="K41" i="16"/>
  <c r="O41" i="11"/>
  <c r="L41" i="16"/>
  <c r="P41" i="11"/>
  <c r="M41" i="16"/>
  <c r="O41" i="16"/>
  <c r="P41" i="16"/>
  <c r="Q41" i="16"/>
  <c r="S41" i="16"/>
  <c r="T41" i="16"/>
  <c r="U41" i="16"/>
  <c r="C42" i="11"/>
  <c r="D42" i="11"/>
  <c r="A42" i="11"/>
  <c r="F42" i="11"/>
  <c r="L42" i="11"/>
  <c r="G42" i="16"/>
  <c r="H42" i="16"/>
  <c r="I42" i="16"/>
  <c r="N42" i="11"/>
  <c r="K42" i="16"/>
  <c r="O42" i="11"/>
  <c r="L42" i="16"/>
  <c r="P42" i="11"/>
  <c r="M42" i="16"/>
  <c r="O42" i="16"/>
  <c r="P42" i="16"/>
  <c r="Q42" i="16"/>
  <c r="S42" i="16"/>
  <c r="T42" i="16"/>
  <c r="U42" i="16"/>
  <c r="G43" i="16"/>
  <c r="H43" i="16"/>
  <c r="I43" i="16"/>
  <c r="K43" i="16"/>
  <c r="L43" i="16"/>
  <c r="M43" i="16"/>
  <c r="O43" i="16"/>
  <c r="P43" i="16"/>
  <c r="Q43" i="16"/>
  <c r="S43" i="16"/>
  <c r="T43" i="16"/>
  <c r="U43" i="16"/>
  <c r="D45" i="16"/>
  <c r="C46" i="11"/>
  <c r="D46" i="11"/>
  <c r="A46" i="11"/>
  <c r="F46" i="11"/>
  <c r="L46" i="11"/>
  <c r="G46" i="16"/>
  <c r="H46" i="16"/>
  <c r="I46" i="16"/>
  <c r="N46" i="11"/>
  <c r="K46" i="16"/>
  <c r="O46" i="11"/>
  <c r="L46" i="16"/>
  <c r="P46" i="11"/>
  <c r="M46" i="16"/>
  <c r="O46" i="16"/>
  <c r="P46" i="16"/>
  <c r="Q46" i="16"/>
  <c r="S46" i="16"/>
  <c r="T46" i="16"/>
  <c r="U46" i="16"/>
  <c r="C47" i="11"/>
  <c r="D47" i="11"/>
  <c r="A47" i="11"/>
  <c r="F47" i="11"/>
  <c r="L47" i="11"/>
  <c r="G47" i="16"/>
  <c r="H47" i="16"/>
  <c r="I47" i="16"/>
  <c r="N47" i="11"/>
  <c r="K47" i="16"/>
  <c r="L47" i="16"/>
  <c r="M47" i="16"/>
  <c r="O47" i="16"/>
  <c r="P47" i="16"/>
  <c r="Q47" i="16"/>
  <c r="S47" i="16"/>
  <c r="T47" i="16"/>
  <c r="U47" i="16"/>
  <c r="C48" i="11"/>
  <c r="D48" i="11"/>
  <c r="A48" i="11"/>
  <c r="F48" i="11"/>
  <c r="L48" i="11"/>
  <c r="G48" i="16"/>
  <c r="H48" i="16"/>
  <c r="I48" i="16"/>
  <c r="N48" i="11"/>
  <c r="K48" i="16"/>
  <c r="O48" i="11"/>
  <c r="L48" i="16"/>
  <c r="P48" i="11"/>
  <c r="M48" i="16"/>
  <c r="O48" i="16"/>
  <c r="P48" i="16"/>
  <c r="Q48" i="16"/>
  <c r="S48" i="16"/>
  <c r="T48" i="16"/>
  <c r="U48" i="16"/>
  <c r="C49" i="11"/>
  <c r="D49" i="11"/>
  <c r="A49" i="11"/>
  <c r="F49" i="11"/>
  <c r="L49" i="11"/>
  <c r="G49" i="16"/>
  <c r="H49" i="16"/>
  <c r="I49" i="16"/>
  <c r="N49" i="11"/>
  <c r="K49" i="16"/>
  <c r="O49" i="11"/>
  <c r="L49" i="16"/>
  <c r="P49" i="11"/>
  <c r="M49" i="16"/>
  <c r="O49" i="16"/>
  <c r="P49" i="16"/>
  <c r="Q49" i="16"/>
  <c r="S49" i="16"/>
  <c r="T49" i="16"/>
  <c r="U49" i="16"/>
  <c r="C50" i="11"/>
  <c r="D50" i="11"/>
  <c r="A50" i="11"/>
  <c r="F50" i="11"/>
  <c r="L50" i="11"/>
  <c r="G50" i="16"/>
  <c r="H50" i="16"/>
  <c r="I50" i="16"/>
  <c r="N50" i="11"/>
  <c r="K50" i="16"/>
  <c r="O50" i="11"/>
  <c r="L50" i="16"/>
  <c r="P50" i="11"/>
  <c r="M50" i="16"/>
  <c r="O50" i="16"/>
  <c r="P50" i="16"/>
  <c r="Q50" i="16"/>
  <c r="S50" i="16"/>
  <c r="T50" i="16"/>
  <c r="U50" i="16"/>
  <c r="C51" i="11"/>
  <c r="D51" i="11"/>
  <c r="A51" i="11"/>
  <c r="F51" i="11"/>
  <c r="L51" i="11"/>
  <c r="G51" i="16"/>
  <c r="H51" i="16"/>
  <c r="I51" i="16"/>
  <c r="N51" i="11"/>
  <c r="K51" i="16"/>
  <c r="O51" i="11"/>
  <c r="L51" i="16"/>
  <c r="P51" i="11"/>
  <c r="M51" i="16"/>
  <c r="O51" i="16"/>
  <c r="P51" i="16"/>
  <c r="Q51" i="16"/>
  <c r="S51" i="16"/>
  <c r="T51" i="16"/>
  <c r="U51" i="16"/>
  <c r="C52" i="11"/>
  <c r="D52" i="11"/>
  <c r="A52" i="11"/>
  <c r="F52" i="11"/>
  <c r="L52" i="11"/>
  <c r="G52" i="16"/>
  <c r="H52" i="16"/>
  <c r="I52" i="16"/>
  <c r="N52" i="11"/>
  <c r="K52" i="16"/>
  <c r="O52" i="11"/>
  <c r="L52" i="16"/>
  <c r="P52" i="11"/>
  <c r="M52" i="16"/>
  <c r="O52" i="16"/>
  <c r="P52" i="16"/>
  <c r="Q52" i="16"/>
  <c r="S52" i="16"/>
  <c r="T52" i="16"/>
  <c r="U52" i="16"/>
  <c r="C53" i="11"/>
  <c r="D53" i="11"/>
  <c r="A53" i="11"/>
  <c r="F53" i="11"/>
  <c r="L53" i="11"/>
  <c r="G53" i="16"/>
  <c r="H53" i="16"/>
  <c r="I53" i="16"/>
  <c r="N53" i="11"/>
  <c r="K53" i="16"/>
  <c r="O53" i="11"/>
  <c r="L53" i="16"/>
  <c r="P53" i="11"/>
  <c r="M53" i="16"/>
  <c r="O53" i="16"/>
  <c r="P53" i="16"/>
  <c r="Q53" i="16"/>
  <c r="S53" i="16"/>
  <c r="T53" i="16"/>
  <c r="U53" i="16"/>
  <c r="C54" i="11"/>
  <c r="D54" i="11"/>
  <c r="A54" i="11"/>
  <c r="F54" i="11"/>
  <c r="L54" i="11"/>
  <c r="G54" i="16"/>
  <c r="H54" i="16"/>
  <c r="I54" i="16"/>
  <c r="N54" i="11"/>
  <c r="K54" i="16"/>
  <c r="O54" i="11"/>
  <c r="L54" i="16"/>
  <c r="P54" i="11"/>
  <c r="M54" i="16"/>
  <c r="O54" i="16"/>
  <c r="P54" i="16"/>
  <c r="Q54" i="16"/>
  <c r="S54" i="16"/>
  <c r="T54" i="16"/>
  <c r="U54" i="16"/>
  <c r="C55" i="11"/>
  <c r="D55" i="11"/>
  <c r="A55" i="11"/>
  <c r="F55" i="11"/>
  <c r="L55" i="11"/>
  <c r="G55" i="16"/>
  <c r="H55" i="16"/>
  <c r="I55" i="16"/>
  <c r="N55" i="11"/>
  <c r="K55" i="16"/>
  <c r="O55" i="11"/>
  <c r="L55" i="16"/>
  <c r="P55" i="11"/>
  <c r="M55" i="16"/>
  <c r="O55" i="16"/>
  <c r="P55" i="16"/>
  <c r="Q55" i="16"/>
  <c r="S55" i="16"/>
  <c r="T55" i="16"/>
  <c r="U55" i="16"/>
  <c r="G56" i="16"/>
  <c r="H56" i="16"/>
  <c r="I56" i="16"/>
  <c r="K56" i="16"/>
  <c r="L56" i="16"/>
  <c r="M56" i="16"/>
  <c r="O56" i="16"/>
  <c r="P56" i="16"/>
  <c r="Q56" i="16"/>
  <c r="S56" i="16"/>
  <c r="T56" i="16"/>
  <c r="U56" i="16"/>
  <c r="D58" i="16"/>
  <c r="C59" i="11"/>
  <c r="D59" i="11"/>
  <c r="A59" i="11"/>
  <c r="F59" i="11"/>
  <c r="L59" i="11"/>
  <c r="G59" i="16"/>
  <c r="H59" i="16"/>
  <c r="I59" i="16"/>
  <c r="N59" i="11"/>
  <c r="K59" i="16"/>
  <c r="O59" i="11"/>
  <c r="L59" i="16"/>
  <c r="P59" i="11"/>
  <c r="M59" i="16"/>
  <c r="O59" i="16"/>
  <c r="P59" i="16"/>
  <c r="Q59" i="16"/>
  <c r="S59" i="16"/>
  <c r="T59" i="16"/>
  <c r="U59" i="16"/>
  <c r="C60" i="11"/>
  <c r="D60" i="11"/>
  <c r="A60" i="11"/>
  <c r="F60" i="11"/>
  <c r="L60" i="11"/>
  <c r="G60" i="16"/>
  <c r="H60" i="16"/>
  <c r="I60" i="16"/>
  <c r="N60" i="11"/>
  <c r="K60" i="16"/>
  <c r="O60" i="11"/>
  <c r="L60" i="16"/>
  <c r="P60" i="11"/>
  <c r="M60" i="16"/>
  <c r="O60" i="16"/>
  <c r="P60" i="16"/>
  <c r="Q60" i="16"/>
  <c r="S60" i="16"/>
  <c r="T60" i="16"/>
  <c r="U60" i="16"/>
  <c r="C61" i="11"/>
  <c r="D61" i="11"/>
  <c r="A61" i="11"/>
  <c r="F61" i="11"/>
  <c r="L61" i="11"/>
  <c r="G61" i="16"/>
  <c r="H61" i="16"/>
  <c r="I61" i="16"/>
  <c r="N61" i="11"/>
  <c r="K61" i="16"/>
  <c r="O61" i="11"/>
  <c r="L61" i="16"/>
  <c r="P61" i="11"/>
  <c r="M61" i="16"/>
  <c r="O61" i="16"/>
  <c r="P61" i="16"/>
  <c r="Q61" i="16"/>
  <c r="S61" i="16"/>
  <c r="T61" i="16"/>
  <c r="U61" i="16"/>
  <c r="C62" i="11"/>
  <c r="D62" i="11"/>
  <c r="A62" i="11"/>
  <c r="F62" i="11"/>
  <c r="L62" i="11"/>
  <c r="G62" i="16"/>
  <c r="H62" i="16"/>
  <c r="I62" i="16"/>
  <c r="N62" i="11"/>
  <c r="K62" i="16"/>
  <c r="O62" i="11"/>
  <c r="L62" i="16"/>
  <c r="P62" i="11"/>
  <c r="M62" i="16"/>
  <c r="O62" i="16"/>
  <c r="P62" i="16"/>
  <c r="Q62" i="16"/>
  <c r="S62" i="16"/>
  <c r="T62" i="16"/>
  <c r="U62" i="16"/>
  <c r="C63" i="11"/>
  <c r="D63" i="11"/>
  <c r="A63" i="11"/>
  <c r="F63" i="11"/>
  <c r="L63" i="11"/>
  <c r="G63" i="16"/>
  <c r="H63" i="16"/>
  <c r="I63" i="16"/>
  <c r="N63" i="11"/>
  <c r="K63" i="16"/>
  <c r="O63" i="11"/>
  <c r="L63" i="16"/>
  <c r="P63" i="11"/>
  <c r="M63" i="16"/>
  <c r="O63" i="16"/>
  <c r="P63" i="16"/>
  <c r="Q63" i="16"/>
  <c r="S63" i="16"/>
  <c r="T63" i="16"/>
  <c r="U63" i="16"/>
  <c r="C64" i="11"/>
  <c r="D64" i="11"/>
  <c r="A64" i="11"/>
  <c r="F64" i="11"/>
  <c r="L64" i="11"/>
  <c r="G64" i="16"/>
  <c r="H64" i="16"/>
  <c r="I64" i="16"/>
  <c r="N64" i="11"/>
  <c r="K64" i="16"/>
  <c r="O64" i="11"/>
  <c r="L64" i="16"/>
  <c r="P64" i="11"/>
  <c r="M64" i="16"/>
  <c r="O64" i="16"/>
  <c r="P64" i="16"/>
  <c r="Q64" i="16"/>
  <c r="S64" i="16"/>
  <c r="T64" i="16"/>
  <c r="U64" i="16"/>
  <c r="C65" i="11"/>
  <c r="D65" i="11"/>
  <c r="A65" i="11"/>
  <c r="F65" i="11"/>
  <c r="L65" i="11"/>
  <c r="G65" i="16"/>
  <c r="H65" i="16"/>
  <c r="I65" i="16"/>
  <c r="N65" i="11"/>
  <c r="K65" i="16"/>
  <c r="O65" i="11"/>
  <c r="L65" i="16"/>
  <c r="P65" i="11"/>
  <c r="M65" i="16"/>
  <c r="O65" i="16"/>
  <c r="P65" i="16"/>
  <c r="Q65" i="16"/>
  <c r="S65" i="16"/>
  <c r="T65" i="16"/>
  <c r="U65" i="16"/>
  <c r="C66" i="11"/>
  <c r="D66" i="11"/>
  <c r="A66" i="11"/>
  <c r="F66" i="11"/>
  <c r="L66" i="11"/>
  <c r="G66" i="16"/>
  <c r="H66" i="16"/>
  <c r="I66" i="16"/>
  <c r="N66" i="11"/>
  <c r="K66" i="16"/>
  <c r="O66" i="11"/>
  <c r="L66" i="16"/>
  <c r="P66" i="11"/>
  <c r="M66" i="16"/>
  <c r="O66" i="16"/>
  <c r="P66" i="16"/>
  <c r="Q66" i="16"/>
  <c r="S66" i="16"/>
  <c r="T66" i="16"/>
  <c r="U66" i="16"/>
  <c r="C67" i="11"/>
  <c r="D67" i="11"/>
  <c r="A67" i="11"/>
  <c r="F67" i="11"/>
  <c r="L67" i="11"/>
  <c r="G67" i="16"/>
  <c r="H67" i="16"/>
  <c r="I67" i="16"/>
  <c r="N67" i="11"/>
  <c r="K67" i="16"/>
  <c r="O67" i="11"/>
  <c r="L67" i="16"/>
  <c r="P67" i="11"/>
  <c r="M67" i="16"/>
  <c r="O67" i="16"/>
  <c r="P67" i="16"/>
  <c r="Q67" i="16"/>
  <c r="S67" i="16"/>
  <c r="T67" i="16"/>
  <c r="U67" i="16"/>
  <c r="C68" i="11"/>
  <c r="D68" i="11"/>
  <c r="A68" i="11"/>
  <c r="F68" i="11"/>
  <c r="L68" i="11"/>
  <c r="G68" i="16"/>
  <c r="H68" i="16"/>
  <c r="I68" i="16"/>
  <c r="N68" i="11"/>
  <c r="K68" i="16"/>
  <c r="O68" i="11"/>
  <c r="L68" i="16"/>
  <c r="P68" i="11"/>
  <c r="M68" i="16"/>
  <c r="O68" i="16"/>
  <c r="P68" i="16"/>
  <c r="Q68" i="16"/>
  <c r="S68" i="16"/>
  <c r="T68" i="16"/>
  <c r="U68" i="16"/>
  <c r="G69" i="16"/>
  <c r="H69" i="16"/>
  <c r="I69" i="16"/>
  <c r="K69" i="16"/>
  <c r="L69" i="16"/>
  <c r="M69" i="16"/>
  <c r="O69" i="16"/>
  <c r="P69" i="16"/>
  <c r="Q69" i="16"/>
  <c r="S69" i="16"/>
  <c r="T69" i="16"/>
  <c r="U69" i="16"/>
  <c r="D71" i="16"/>
  <c r="C72" i="11"/>
  <c r="D72" i="11"/>
  <c r="A72" i="11"/>
  <c r="F72" i="11"/>
  <c r="L72" i="11"/>
  <c r="G72" i="16"/>
  <c r="H72" i="16"/>
  <c r="I72" i="16"/>
  <c r="N72" i="11"/>
  <c r="K72" i="16"/>
  <c r="O72" i="11"/>
  <c r="L72" i="16"/>
  <c r="P72" i="11"/>
  <c r="M72" i="16"/>
  <c r="O72" i="16"/>
  <c r="P72" i="16"/>
  <c r="Q72" i="16"/>
  <c r="S72" i="16"/>
  <c r="T72" i="16"/>
  <c r="U72" i="16"/>
  <c r="C73" i="11"/>
  <c r="D73" i="11"/>
  <c r="A73" i="11"/>
  <c r="F73" i="11"/>
  <c r="L73" i="11"/>
  <c r="G73" i="16"/>
  <c r="H73" i="16"/>
  <c r="I73" i="16"/>
  <c r="N73" i="11"/>
  <c r="K73" i="16"/>
  <c r="O73" i="11"/>
  <c r="L73" i="16"/>
  <c r="P73" i="11"/>
  <c r="M73" i="16"/>
  <c r="O73" i="16"/>
  <c r="P73" i="16"/>
  <c r="Q73" i="16"/>
  <c r="S73" i="16"/>
  <c r="T73" i="16"/>
  <c r="U73" i="16"/>
  <c r="C74" i="11"/>
  <c r="D74" i="11"/>
  <c r="A74" i="11"/>
  <c r="F74" i="11"/>
  <c r="L74" i="11"/>
  <c r="G74" i="16"/>
  <c r="H74" i="16"/>
  <c r="I74" i="16"/>
  <c r="N74" i="11"/>
  <c r="K74" i="16"/>
  <c r="O74" i="11"/>
  <c r="L74" i="16"/>
  <c r="P74" i="11"/>
  <c r="M74" i="16"/>
  <c r="O74" i="16"/>
  <c r="P74" i="16"/>
  <c r="Q74" i="16"/>
  <c r="S74" i="16"/>
  <c r="T74" i="16"/>
  <c r="U74" i="16"/>
  <c r="C75" i="11"/>
  <c r="D75" i="11"/>
  <c r="A75" i="11"/>
  <c r="F75" i="11"/>
  <c r="L75" i="11"/>
  <c r="G75" i="16"/>
  <c r="H75" i="16"/>
  <c r="I75" i="16"/>
  <c r="N75" i="11"/>
  <c r="K75" i="16"/>
  <c r="O75" i="11"/>
  <c r="L75" i="16"/>
  <c r="P75" i="11"/>
  <c r="M75" i="16"/>
  <c r="O75" i="16"/>
  <c r="P75" i="16"/>
  <c r="Q75" i="16"/>
  <c r="S75" i="16"/>
  <c r="T75" i="16"/>
  <c r="U75" i="16"/>
  <c r="C76" i="11"/>
  <c r="D76" i="11"/>
  <c r="A76" i="11"/>
  <c r="F76" i="11"/>
  <c r="L76" i="11"/>
  <c r="G76" i="16"/>
  <c r="H76" i="16"/>
  <c r="I76" i="16"/>
  <c r="N76" i="11"/>
  <c r="K76" i="16"/>
  <c r="O76" i="11"/>
  <c r="L76" i="16"/>
  <c r="P76" i="11"/>
  <c r="M76" i="16"/>
  <c r="O76" i="16"/>
  <c r="P76" i="16"/>
  <c r="Q76" i="16"/>
  <c r="S76" i="16"/>
  <c r="T76" i="16"/>
  <c r="U76" i="16"/>
  <c r="C77" i="11"/>
  <c r="D77" i="11"/>
  <c r="A77" i="11"/>
  <c r="F77" i="11"/>
  <c r="L77" i="11"/>
  <c r="G77" i="16"/>
  <c r="H77" i="16"/>
  <c r="I77" i="16"/>
  <c r="N77" i="11"/>
  <c r="K77" i="16"/>
  <c r="O77" i="11"/>
  <c r="L77" i="16"/>
  <c r="P77" i="11"/>
  <c r="M77" i="16"/>
  <c r="O77" i="16"/>
  <c r="P77" i="16"/>
  <c r="Q77" i="16"/>
  <c r="S77" i="16"/>
  <c r="T77" i="16"/>
  <c r="U77" i="16"/>
  <c r="C78" i="11"/>
  <c r="D78" i="11"/>
  <c r="A78" i="11"/>
  <c r="F78" i="11"/>
  <c r="L78" i="11"/>
  <c r="G78" i="16"/>
  <c r="H78" i="16"/>
  <c r="I78" i="16"/>
  <c r="N78" i="11"/>
  <c r="K78" i="16"/>
  <c r="L78" i="16"/>
  <c r="M78" i="16"/>
  <c r="O78" i="16"/>
  <c r="P78" i="16"/>
  <c r="Q78" i="16"/>
  <c r="S78" i="16"/>
  <c r="T78" i="16"/>
  <c r="U78" i="16"/>
  <c r="C79" i="11"/>
  <c r="D79" i="11"/>
  <c r="A79" i="11"/>
  <c r="F79" i="11"/>
  <c r="L79" i="11"/>
  <c r="G79" i="16"/>
  <c r="H79" i="16"/>
  <c r="I79" i="16"/>
  <c r="N79" i="11"/>
  <c r="K79" i="16"/>
  <c r="O79" i="11"/>
  <c r="L79" i="16"/>
  <c r="P79" i="11"/>
  <c r="M79" i="16"/>
  <c r="O79" i="16"/>
  <c r="P79" i="16"/>
  <c r="Q79" i="16"/>
  <c r="S79" i="16"/>
  <c r="T79" i="16"/>
  <c r="U79" i="16"/>
  <c r="C80" i="11"/>
  <c r="D80" i="11"/>
  <c r="A80" i="11"/>
  <c r="F80" i="11"/>
  <c r="L80" i="11"/>
  <c r="G80" i="16"/>
  <c r="H80" i="16"/>
  <c r="I80" i="16"/>
  <c r="N80" i="11"/>
  <c r="K80" i="16"/>
  <c r="O80" i="11"/>
  <c r="L80" i="16"/>
  <c r="P80" i="11"/>
  <c r="M80" i="16"/>
  <c r="O80" i="16"/>
  <c r="P80" i="16"/>
  <c r="Q80" i="16"/>
  <c r="S80" i="16"/>
  <c r="T80" i="16"/>
  <c r="U80" i="16"/>
  <c r="C81" i="11"/>
  <c r="D81" i="11"/>
  <c r="A81" i="11"/>
  <c r="F81" i="11"/>
  <c r="L81" i="11"/>
  <c r="G81" i="16"/>
  <c r="H81" i="16"/>
  <c r="I81" i="16"/>
  <c r="N81" i="11"/>
  <c r="K81" i="16"/>
  <c r="O81" i="11"/>
  <c r="L81" i="16"/>
  <c r="P81" i="11"/>
  <c r="M81" i="16"/>
  <c r="O81" i="16"/>
  <c r="P81" i="16"/>
  <c r="Q81" i="16"/>
  <c r="S81" i="16"/>
  <c r="T81" i="16"/>
  <c r="U81" i="16"/>
  <c r="G82" i="16"/>
  <c r="H82" i="16"/>
  <c r="I82" i="16"/>
  <c r="K82" i="16"/>
  <c r="L82" i="16"/>
  <c r="M82" i="16"/>
  <c r="O82" i="16"/>
  <c r="P82" i="16"/>
  <c r="Q82" i="16"/>
  <c r="S82" i="16"/>
  <c r="T82" i="16"/>
  <c r="U82" i="16"/>
  <c r="D84" i="16"/>
  <c r="C85" i="11"/>
  <c r="D85" i="11"/>
  <c r="A85" i="11"/>
  <c r="F85" i="11"/>
  <c r="L85" i="11"/>
  <c r="G85" i="16"/>
  <c r="H85" i="16"/>
  <c r="I85" i="16"/>
  <c r="N85" i="11"/>
  <c r="K85" i="16"/>
  <c r="O85" i="11"/>
  <c r="L85" i="16"/>
  <c r="P85" i="11"/>
  <c r="M85" i="16"/>
  <c r="O85" i="16"/>
  <c r="P85" i="16"/>
  <c r="Q85" i="16"/>
  <c r="S85" i="16"/>
  <c r="T85" i="16"/>
  <c r="U85" i="16"/>
  <c r="C86" i="11"/>
  <c r="D86" i="11"/>
  <c r="A86" i="11"/>
  <c r="F86" i="11"/>
  <c r="L86" i="11"/>
  <c r="G86" i="16"/>
  <c r="H86" i="16"/>
  <c r="I86" i="16"/>
  <c r="N86" i="11"/>
  <c r="K86" i="16"/>
  <c r="O86" i="11"/>
  <c r="L86" i="16"/>
  <c r="P86" i="11"/>
  <c r="M86" i="16"/>
  <c r="O86" i="16"/>
  <c r="P86" i="16"/>
  <c r="Q86" i="16"/>
  <c r="S86" i="16"/>
  <c r="T86" i="16"/>
  <c r="U86" i="16"/>
  <c r="C87" i="11"/>
  <c r="D87" i="11"/>
  <c r="A87" i="11"/>
  <c r="F87" i="11"/>
  <c r="L87" i="11"/>
  <c r="G87" i="16"/>
  <c r="H87" i="16"/>
  <c r="I87" i="16"/>
  <c r="N87" i="11"/>
  <c r="K87" i="16"/>
  <c r="O87" i="11"/>
  <c r="L87" i="16"/>
  <c r="P87" i="11"/>
  <c r="M87" i="16"/>
  <c r="O87" i="16"/>
  <c r="P87" i="16"/>
  <c r="Q87" i="16"/>
  <c r="S87" i="16"/>
  <c r="T87" i="16"/>
  <c r="U87" i="16"/>
  <c r="C88" i="11"/>
  <c r="D88" i="11"/>
  <c r="A88" i="11"/>
  <c r="F88" i="11"/>
  <c r="L88" i="11"/>
  <c r="G88" i="16"/>
  <c r="H88" i="16"/>
  <c r="I88" i="16"/>
  <c r="N88" i="11"/>
  <c r="K88" i="16"/>
  <c r="O88" i="11"/>
  <c r="L88" i="16"/>
  <c r="P88" i="11"/>
  <c r="M88" i="16"/>
  <c r="O88" i="16"/>
  <c r="P88" i="16"/>
  <c r="Q88" i="16"/>
  <c r="S88" i="16"/>
  <c r="T88" i="16"/>
  <c r="U88" i="16"/>
  <c r="C89" i="11"/>
  <c r="D89" i="11"/>
  <c r="A89" i="11"/>
  <c r="F89" i="11"/>
  <c r="L89" i="11"/>
  <c r="G89" i="16"/>
  <c r="H89" i="16"/>
  <c r="I89" i="16"/>
  <c r="N89" i="11"/>
  <c r="K89" i="16"/>
  <c r="O89" i="11"/>
  <c r="L89" i="16"/>
  <c r="P89" i="11"/>
  <c r="M89" i="16"/>
  <c r="O89" i="16"/>
  <c r="P89" i="16"/>
  <c r="Q89" i="16"/>
  <c r="S89" i="16"/>
  <c r="T89" i="16"/>
  <c r="U89" i="16"/>
  <c r="C90" i="11"/>
  <c r="D90" i="11"/>
  <c r="A90" i="11"/>
  <c r="F90" i="11"/>
  <c r="L90" i="11"/>
  <c r="G90" i="16"/>
  <c r="H90" i="16"/>
  <c r="I90" i="16"/>
  <c r="N90" i="11"/>
  <c r="K90" i="16"/>
  <c r="O90" i="11"/>
  <c r="L90" i="16"/>
  <c r="P90" i="11"/>
  <c r="M90" i="16"/>
  <c r="O90" i="16"/>
  <c r="P90" i="16"/>
  <c r="Q90" i="16"/>
  <c r="S90" i="16"/>
  <c r="T90" i="16"/>
  <c r="U90" i="16"/>
  <c r="C91" i="11"/>
  <c r="D91" i="11"/>
  <c r="A91" i="11"/>
  <c r="F91" i="11"/>
  <c r="L91" i="11"/>
  <c r="G91" i="16"/>
  <c r="H91" i="16"/>
  <c r="I91" i="16"/>
  <c r="N91" i="11"/>
  <c r="K91" i="16"/>
  <c r="O91" i="11"/>
  <c r="L91" i="16"/>
  <c r="P91" i="11"/>
  <c r="M91" i="16"/>
  <c r="O91" i="16"/>
  <c r="P91" i="16"/>
  <c r="Q91" i="16"/>
  <c r="S91" i="16"/>
  <c r="T91" i="16"/>
  <c r="U91" i="16"/>
  <c r="C92" i="11"/>
  <c r="D92" i="11"/>
  <c r="A92" i="11"/>
  <c r="F92" i="11"/>
  <c r="L92" i="11"/>
  <c r="G92" i="16"/>
  <c r="H92" i="16"/>
  <c r="I92" i="16"/>
  <c r="N92" i="11"/>
  <c r="K92" i="16"/>
  <c r="O92" i="11"/>
  <c r="L92" i="16"/>
  <c r="P92" i="11"/>
  <c r="M92" i="16"/>
  <c r="O92" i="16"/>
  <c r="P92" i="16"/>
  <c r="Q92" i="16"/>
  <c r="S92" i="16"/>
  <c r="T92" i="16"/>
  <c r="U92" i="16"/>
  <c r="C93" i="11"/>
  <c r="D93" i="11"/>
  <c r="A93" i="11"/>
  <c r="F93" i="11"/>
  <c r="L93" i="11"/>
  <c r="G93" i="16"/>
  <c r="H93" i="16"/>
  <c r="I93" i="16"/>
  <c r="N93" i="11"/>
  <c r="K93" i="16"/>
  <c r="O93" i="11"/>
  <c r="L93" i="16"/>
  <c r="P93" i="11"/>
  <c r="M93" i="16"/>
  <c r="O93" i="16"/>
  <c r="P93" i="16"/>
  <c r="Q93" i="16"/>
  <c r="S93" i="16"/>
  <c r="T93" i="16"/>
  <c r="U93" i="16"/>
  <c r="C94" i="11"/>
  <c r="D94" i="11"/>
  <c r="A94" i="11"/>
  <c r="F94" i="11"/>
  <c r="L94" i="11"/>
  <c r="G94" i="16"/>
  <c r="H94" i="16"/>
  <c r="I94" i="16"/>
  <c r="N94" i="11"/>
  <c r="K94" i="16"/>
  <c r="O94" i="11"/>
  <c r="L94" i="16"/>
  <c r="P94" i="11"/>
  <c r="M94" i="16"/>
  <c r="O94" i="16"/>
  <c r="P94" i="16"/>
  <c r="Q94" i="16"/>
  <c r="S94" i="16"/>
  <c r="T94" i="16"/>
  <c r="U94" i="16"/>
  <c r="G95" i="16"/>
  <c r="H95" i="16"/>
  <c r="I95" i="16"/>
  <c r="K95" i="16"/>
  <c r="L95" i="16"/>
  <c r="M95" i="16"/>
  <c r="O95" i="16"/>
  <c r="P95" i="16"/>
  <c r="Q95" i="16"/>
  <c r="S95" i="16"/>
  <c r="T95" i="16"/>
  <c r="U95" i="16"/>
  <c r="D97" i="16"/>
  <c r="C98" i="11"/>
  <c r="D98" i="11"/>
  <c r="A98" i="11"/>
  <c r="F98" i="11"/>
  <c r="L98" i="11"/>
  <c r="G98" i="16"/>
  <c r="H98" i="16"/>
  <c r="I98" i="16"/>
  <c r="N98" i="11"/>
  <c r="K98" i="16"/>
  <c r="O98" i="11"/>
  <c r="L98" i="16"/>
  <c r="P98" i="11"/>
  <c r="M98" i="16"/>
  <c r="O98" i="16"/>
  <c r="P98" i="16"/>
  <c r="Q98" i="16"/>
  <c r="S98" i="16"/>
  <c r="T98" i="16"/>
  <c r="U98" i="16"/>
  <c r="C99" i="11"/>
  <c r="D99" i="11"/>
  <c r="A99" i="11"/>
  <c r="F99" i="11"/>
  <c r="L99" i="11"/>
  <c r="G99" i="16"/>
  <c r="H99" i="16"/>
  <c r="I99" i="16"/>
  <c r="N99" i="11"/>
  <c r="K99" i="16"/>
  <c r="O99" i="11"/>
  <c r="L99" i="16"/>
  <c r="P99" i="11"/>
  <c r="M99" i="16"/>
  <c r="O99" i="16"/>
  <c r="P99" i="16"/>
  <c r="Q99" i="16"/>
  <c r="S99" i="16"/>
  <c r="T99" i="16"/>
  <c r="U99" i="16"/>
  <c r="C100" i="11"/>
  <c r="D100" i="11"/>
  <c r="A100" i="11"/>
  <c r="F100" i="11"/>
  <c r="L100" i="11"/>
  <c r="G100" i="16"/>
  <c r="H100" i="16"/>
  <c r="I100" i="16"/>
  <c r="N100" i="11"/>
  <c r="K100" i="16"/>
  <c r="O100" i="11"/>
  <c r="L100" i="16"/>
  <c r="P100" i="11"/>
  <c r="M100" i="16"/>
  <c r="O100" i="16"/>
  <c r="P100" i="16"/>
  <c r="Q100" i="16"/>
  <c r="S100" i="16"/>
  <c r="T100" i="16"/>
  <c r="U100" i="16"/>
  <c r="C101" i="11"/>
  <c r="D101" i="11"/>
  <c r="A101" i="11"/>
  <c r="F101" i="11"/>
  <c r="L101" i="11"/>
  <c r="G101" i="16"/>
  <c r="H101" i="16"/>
  <c r="I101" i="16"/>
  <c r="N101" i="11"/>
  <c r="K101" i="16"/>
  <c r="O101" i="11"/>
  <c r="L101" i="16"/>
  <c r="P101" i="11"/>
  <c r="M101" i="16"/>
  <c r="O101" i="16"/>
  <c r="P101" i="16"/>
  <c r="Q101" i="16"/>
  <c r="S101" i="16"/>
  <c r="T101" i="16"/>
  <c r="U101" i="16"/>
  <c r="C102" i="11"/>
  <c r="D102" i="11"/>
  <c r="A102" i="11"/>
  <c r="F102" i="11"/>
  <c r="L102" i="11"/>
  <c r="G102" i="16"/>
  <c r="H102" i="16"/>
  <c r="I102" i="16"/>
  <c r="N102" i="11"/>
  <c r="K102" i="16"/>
  <c r="O102" i="11"/>
  <c r="L102" i="16"/>
  <c r="P102" i="11"/>
  <c r="M102" i="16"/>
  <c r="O102" i="16"/>
  <c r="P102" i="16"/>
  <c r="Q102" i="16"/>
  <c r="S102" i="16"/>
  <c r="T102" i="16"/>
  <c r="U102" i="16"/>
  <c r="C103" i="11"/>
  <c r="D103" i="11"/>
  <c r="A103" i="11"/>
  <c r="F103" i="11"/>
  <c r="L103" i="11"/>
  <c r="G103" i="16"/>
  <c r="H103" i="16"/>
  <c r="I103" i="16"/>
  <c r="N103" i="11"/>
  <c r="K103" i="16"/>
  <c r="O103" i="11"/>
  <c r="L103" i="16"/>
  <c r="P103" i="11"/>
  <c r="M103" i="16"/>
  <c r="O103" i="16"/>
  <c r="P103" i="16"/>
  <c r="Q103" i="16"/>
  <c r="S103" i="16"/>
  <c r="T103" i="16"/>
  <c r="U103" i="16"/>
  <c r="C104" i="11"/>
  <c r="D104" i="11"/>
  <c r="A104" i="11"/>
  <c r="F104" i="11"/>
  <c r="L104" i="11"/>
  <c r="G104" i="16"/>
  <c r="H104" i="16"/>
  <c r="I104" i="16"/>
  <c r="N104" i="11"/>
  <c r="K104" i="16"/>
  <c r="O104" i="11"/>
  <c r="L104" i="16"/>
  <c r="P104" i="11"/>
  <c r="M104" i="16"/>
  <c r="O104" i="16"/>
  <c r="P104" i="16"/>
  <c r="Q104" i="16"/>
  <c r="S104" i="16"/>
  <c r="T104" i="16"/>
  <c r="U104" i="16"/>
  <c r="C105" i="11"/>
  <c r="D105" i="11"/>
  <c r="A105" i="11"/>
  <c r="F105" i="11"/>
  <c r="L105" i="11"/>
  <c r="G105" i="16"/>
  <c r="H105" i="16"/>
  <c r="I105" i="16"/>
  <c r="N105" i="11"/>
  <c r="K105" i="16"/>
  <c r="O105" i="11"/>
  <c r="L105" i="16"/>
  <c r="P105" i="11"/>
  <c r="M105" i="16"/>
  <c r="O105" i="16"/>
  <c r="P105" i="16"/>
  <c r="Q105" i="16"/>
  <c r="S105" i="16"/>
  <c r="T105" i="16"/>
  <c r="U105" i="16"/>
  <c r="C106" i="11"/>
  <c r="D106" i="11"/>
  <c r="A106" i="11"/>
  <c r="F106" i="11"/>
  <c r="L106" i="11"/>
  <c r="G106" i="16"/>
  <c r="H106" i="16"/>
  <c r="I106" i="16"/>
  <c r="N106" i="11"/>
  <c r="K106" i="16"/>
  <c r="O106" i="11"/>
  <c r="L106" i="16"/>
  <c r="P106" i="11"/>
  <c r="M106" i="16"/>
  <c r="O106" i="16"/>
  <c r="P106" i="16"/>
  <c r="Q106" i="16"/>
  <c r="S106" i="16"/>
  <c r="T106" i="16"/>
  <c r="U106" i="16"/>
  <c r="C107" i="11"/>
  <c r="D107" i="11"/>
  <c r="A107" i="11"/>
  <c r="F107" i="11"/>
  <c r="L107" i="11"/>
  <c r="G107" i="16"/>
  <c r="H107" i="16"/>
  <c r="I107" i="16"/>
  <c r="N107" i="11"/>
  <c r="K107" i="16"/>
  <c r="O107" i="11"/>
  <c r="L107" i="16"/>
  <c r="P107" i="11"/>
  <c r="M107" i="16"/>
  <c r="O107" i="16"/>
  <c r="P107" i="16"/>
  <c r="Q107" i="16"/>
  <c r="S107" i="16"/>
  <c r="T107" i="16"/>
  <c r="U107" i="16"/>
  <c r="G108" i="16"/>
  <c r="H108" i="16"/>
  <c r="I108" i="16"/>
  <c r="K108" i="16"/>
  <c r="L108" i="16"/>
  <c r="M108" i="16"/>
  <c r="O108" i="16"/>
  <c r="P108" i="16"/>
  <c r="Q108" i="16"/>
  <c r="S108" i="16"/>
  <c r="T108" i="16"/>
  <c r="U108" i="16"/>
  <c r="D110" i="16"/>
  <c r="C111" i="11"/>
  <c r="D111" i="11"/>
  <c r="A111" i="11"/>
  <c r="F111" i="11"/>
  <c r="L111" i="11"/>
  <c r="G111" i="16"/>
  <c r="H111" i="16"/>
  <c r="I111" i="16"/>
  <c r="N111" i="11"/>
  <c r="K111" i="16"/>
  <c r="O111" i="11"/>
  <c r="L111" i="16"/>
  <c r="P111" i="11"/>
  <c r="M111" i="16"/>
  <c r="O111" i="16"/>
  <c r="P111" i="16"/>
  <c r="Q111" i="16"/>
  <c r="S111" i="16"/>
  <c r="T111" i="16"/>
  <c r="U111" i="16"/>
  <c r="C112" i="11"/>
  <c r="D112" i="11"/>
  <c r="A112" i="11"/>
  <c r="F112" i="11"/>
  <c r="L112" i="11"/>
  <c r="G112" i="16"/>
  <c r="H112" i="16"/>
  <c r="I112" i="16"/>
  <c r="N112" i="11"/>
  <c r="K112" i="16"/>
  <c r="O112" i="11"/>
  <c r="L112" i="16"/>
  <c r="P112" i="11"/>
  <c r="M112" i="16"/>
  <c r="O112" i="16"/>
  <c r="P112" i="16"/>
  <c r="Q112" i="16"/>
  <c r="S112" i="16"/>
  <c r="T112" i="16"/>
  <c r="U112" i="16"/>
  <c r="C113" i="11"/>
  <c r="D113" i="11"/>
  <c r="A113" i="11"/>
  <c r="F113" i="11"/>
  <c r="L113" i="11"/>
  <c r="G113" i="16"/>
  <c r="H113" i="16"/>
  <c r="I113" i="16"/>
  <c r="N113" i="11"/>
  <c r="K113" i="16"/>
  <c r="O113" i="11"/>
  <c r="L113" i="16"/>
  <c r="P113" i="11"/>
  <c r="M113" i="16"/>
  <c r="O113" i="16"/>
  <c r="P113" i="16"/>
  <c r="Q113" i="16"/>
  <c r="S113" i="16"/>
  <c r="T113" i="16"/>
  <c r="U113" i="16"/>
  <c r="C114" i="11"/>
  <c r="D114" i="11"/>
  <c r="A114" i="11"/>
  <c r="F114" i="11"/>
  <c r="L114" i="11"/>
  <c r="G114" i="16"/>
  <c r="H114" i="16"/>
  <c r="I114" i="16"/>
  <c r="N114" i="11"/>
  <c r="K114" i="16"/>
  <c r="O114" i="11"/>
  <c r="L114" i="16"/>
  <c r="P114" i="11"/>
  <c r="M114" i="16"/>
  <c r="O114" i="16"/>
  <c r="P114" i="16"/>
  <c r="Q114" i="16"/>
  <c r="S114" i="16"/>
  <c r="T114" i="16"/>
  <c r="U114" i="16"/>
  <c r="C115" i="11"/>
  <c r="D115" i="11"/>
  <c r="A115" i="11"/>
  <c r="F115" i="11"/>
  <c r="L115" i="11"/>
  <c r="G115" i="16"/>
  <c r="H115" i="16"/>
  <c r="I115" i="16"/>
  <c r="N115" i="11"/>
  <c r="K115" i="16"/>
  <c r="O115" i="11"/>
  <c r="L115" i="16"/>
  <c r="P115" i="11"/>
  <c r="M115" i="16"/>
  <c r="O115" i="16"/>
  <c r="P115" i="16"/>
  <c r="Q115" i="16"/>
  <c r="S115" i="16"/>
  <c r="T115" i="16"/>
  <c r="U115" i="16"/>
  <c r="C116" i="11"/>
  <c r="D116" i="11"/>
  <c r="A116" i="11"/>
  <c r="F116" i="11"/>
  <c r="L116" i="11"/>
  <c r="G116" i="16"/>
  <c r="H116" i="16"/>
  <c r="I116" i="16"/>
  <c r="N116" i="11"/>
  <c r="K116" i="16"/>
  <c r="O116" i="11"/>
  <c r="L116" i="16"/>
  <c r="P116" i="11"/>
  <c r="M116" i="16"/>
  <c r="O116" i="16"/>
  <c r="P116" i="16"/>
  <c r="Q116" i="16"/>
  <c r="S116" i="16"/>
  <c r="T116" i="16"/>
  <c r="U116" i="16"/>
  <c r="C117" i="11"/>
  <c r="D117" i="11"/>
  <c r="A117" i="11"/>
  <c r="F117" i="11"/>
  <c r="L117" i="11"/>
  <c r="G117" i="16"/>
  <c r="H117" i="16"/>
  <c r="I117" i="16"/>
  <c r="N117" i="11"/>
  <c r="K117" i="16"/>
  <c r="O117" i="11"/>
  <c r="L117" i="16"/>
  <c r="P117" i="11"/>
  <c r="M117" i="16"/>
  <c r="O117" i="16"/>
  <c r="P117" i="16"/>
  <c r="Q117" i="16"/>
  <c r="S117" i="16"/>
  <c r="T117" i="16"/>
  <c r="U117" i="16"/>
  <c r="C118" i="11"/>
  <c r="D118" i="11"/>
  <c r="A118" i="11"/>
  <c r="F118" i="11"/>
  <c r="L118" i="11"/>
  <c r="G118" i="16"/>
  <c r="H118" i="16"/>
  <c r="I118" i="16"/>
  <c r="N118" i="11"/>
  <c r="K118" i="16"/>
  <c r="O118" i="11"/>
  <c r="L118" i="16"/>
  <c r="P118" i="11"/>
  <c r="M118" i="16"/>
  <c r="O118" i="16"/>
  <c r="P118" i="16"/>
  <c r="Q118" i="16"/>
  <c r="S118" i="16"/>
  <c r="T118" i="16"/>
  <c r="U118" i="16"/>
  <c r="C119" i="11"/>
  <c r="D119" i="11"/>
  <c r="A119" i="11"/>
  <c r="F119" i="11"/>
  <c r="L119" i="11"/>
  <c r="G119" i="16"/>
  <c r="H119" i="16"/>
  <c r="I119" i="16"/>
  <c r="N119" i="11"/>
  <c r="K119" i="16"/>
  <c r="O119" i="11"/>
  <c r="L119" i="16"/>
  <c r="P119" i="11"/>
  <c r="M119" i="16"/>
  <c r="O119" i="16"/>
  <c r="P119" i="16"/>
  <c r="Q119" i="16"/>
  <c r="S119" i="16"/>
  <c r="T119" i="16"/>
  <c r="U119" i="16"/>
  <c r="C120" i="11"/>
  <c r="D120" i="11"/>
  <c r="A120" i="11"/>
  <c r="F120" i="11"/>
  <c r="L120" i="11"/>
  <c r="G120" i="16"/>
  <c r="H120" i="16"/>
  <c r="I120" i="16"/>
  <c r="N120" i="11"/>
  <c r="K120" i="16"/>
  <c r="O120" i="11"/>
  <c r="L120" i="16"/>
  <c r="P120" i="11"/>
  <c r="M120" i="16"/>
  <c r="O120" i="16"/>
  <c r="P120" i="16"/>
  <c r="Q120" i="16"/>
  <c r="S120" i="16"/>
  <c r="T120" i="16"/>
  <c r="U120" i="16"/>
  <c r="G121" i="16"/>
  <c r="H121" i="16"/>
  <c r="I121" i="16"/>
  <c r="K121" i="16"/>
  <c r="L121" i="16"/>
  <c r="M121" i="16"/>
  <c r="O121" i="16"/>
  <c r="P121" i="16"/>
  <c r="Q121" i="16"/>
  <c r="S121" i="16"/>
  <c r="T121" i="16"/>
  <c r="U121" i="16"/>
  <c r="D123" i="16"/>
  <c r="C124" i="11"/>
  <c r="D124" i="11"/>
  <c r="A124" i="11"/>
  <c r="F124" i="11"/>
  <c r="L124" i="11"/>
  <c r="G124" i="16"/>
  <c r="H124" i="16"/>
  <c r="I124" i="16"/>
  <c r="N124" i="11"/>
  <c r="K124" i="16"/>
  <c r="O124" i="11"/>
  <c r="L124" i="16"/>
  <c r="P124" i="11"/>
  <c r="M124" i="16"/>
  <c r="O124" i="16"/>
  <c r="P124" i="16"/>
  <c r="Q124" i="16"/>
  <c r="S124" i="16"/>
  <c r="T124" i="16"/>
  <c r="U124" i="16"/>
  <c r="C125" i="11"/>
  <c r="D125" i="11"/>
  <c r="A125" i="11"/>
  <c r="F125" i="11"/>
  <c r="L125" i="11"/>
  <c r="G125" i="16"/>
  <c r="H125" i="16"/>
  <c r="I125" i="16"/>
  <c r="N125" i="11"/>
  <c r="K125" i="16"/>
  <c r="O125" i="11"/>
  <c r="L125" i="16"/>
  <c r="P125" i="11"/>
  <c r="M125" i="16"/>
  <c r="O125" i="16"/>
  <c r="P125" i="16"/>
  <c r="Q125" i="16"/>
  <c r="S125" i="16"/>
  <c r="T125" i="16"/>
  <c r="U125" i="16"/>
  <c r="C126" i="11"/>
  <c r="D126" i="11"/>
  <c r="A126" i="11"/>
  <c r="F126" i="11"/>
  <c r="L126" i="11"/>
  <c r="G126" i="16"/>
  <c r="H126" i="16"/>
  <c r="I126" i="16"/>
  <c r="N126" i="11"/>
  <c r="K126" i="16"/>
  <c r="O126" i="11"/>
  <c r="L126" i="16"/>
  <c r="P126" i="11"/>
  <c r="M126" i="16"/>
  <c r="O126" i="16"/>
  <c r="P126" i="16"/>
  <c r="Q126" i="16"/>
  <c r="S126" i="16"/>
  <c r="T126" i="16"/>
  <c r="U126" i="16"/>
  <c r="C127" i="11"/>
  <c r="D127" i="11"/>
  <c r="A127" i="11"/>
  <c r="F127" i="11"/>
  <c r="L127" i="11"/>
  <c r="G127" i="16"/>
  <c r="H127" i="16"/>
  <c r="I127" i="16"/>
  <c r="N127" i="11"/>
  <c r="K127" i="16"/>
  <c r="O127" i="11"/>
  <c r="L127" i="16"/>
  <c r="P127" i="11"/>
  <c r="M127" i="16"/>
  <c r="O127" i="16"/>
  <c r="P127" i="16"/>
  <c r="Q127" i="16"/>
  <c r="S127" i="16"/>
  <c r="T127" i="16"/>
  <c r="U127" i="16"/>
  <c r="C128" i="11"/>
  <c r="D128" i="11"/>
  <c r="A128" i="11"/>
  <c r="F128" i="11"/>
  <c r="L128" i="11"/>
  <c r="G128" i="16"/>
  <c r="H128" i="16"/>
  <c r="I128" i="16"/>
  <c r="N128" i="11"/>
  <c r="K128" i="16"/>
  <c r="O128" i="11"/>
  <c r="L128" i="16"/>
  <c r="P128" i="11"/>
  <c r="M128" i="16"/>
  <c r="O128" i="16"/>
  <c r="P128" i="16"/>
  <c r="Q128" i="16"/>
  <c r="S128" i="16"/>
  <c r="T128" i="16"/>
  <c r="U128" i="16"/>
  <c r="C129" i="11"/>
  <c r="D129" i="11"/>
  <c r="A129" i="11"/>
  <c r="F129" i="11"/>
  <c r="L129" i="11"/>
  <c r="G129" i="16"/>
  <c r="H129" i="16"/>
  <c r="I129" i="16"/>
  <c r="N129" i="11"/>
  <c r="K129" i="16"/>
  <c r="O129" i="11"/>
  <c r="L129" i="16"/>
  <c r="P129" i="11"/>
  <c r="M129" i="16"/>
  <c r="O129" i="16"/>
  <c r="P129" i="16"/>
  <c r="Q129" i="16"/>
  <c r="S129" i="16"/>
  <c r="T129" i="16"/>
  <c r="U129" i="16"/>
  <c r="C130" i="11"/>
  <c r="D130" i="11"/>
  <c r="A130" i="11"/>
  <c r="F130" i="11"/>
  <c r="L130" i="11"/>
  <c r="G130" i="16"/>
  <c r="H130" i="16"/>
  <c r="I130" i="16"/>
  <c r="N130" i="11"/>
  <c r="K130" i="16"/>
  <c r="O130" i="11"/>
  <c r="L130" i="16"/>
  <c r="P130" i="11"/>
  <c r="M130" i="16"/>
  <c r="O130" i="16"/>
  <c r="P130" i="16"/>
  <c r="Q130" i="16"/>
  <c r="S130" i="16"/>
  <c r="T130" i="16"/>
  <c r="U130" i="16"/>
  <c r="C131" i="11"/>
  <c r="D131" i="11"/>
  <c r="A131" i="11"/>
  <c r="F131" i="11"/>
  <c r="L131" i="11"/>
  <c r="G131" i="16"/>
  <c r="H131" i="16"/>
  <c r="I131" i="16"/>
  <c r="N131" i="11"/>
  <c r="K131" i="16"/>
  <c r="O131" i="11"/>
  <c r="L131" i="16"/>
  <c r="P131" i="11"/>
  <c r="M131" i="16"/>
  <c r="O131" i="16"/>
  <c r="P131" i="16"/>
  <c r="Q131" i="16"/>
  <c r="S131" i="16"/>
  <c r="T131" i="16"/>
  <c r="U131" i="16"/>
  <c r="C132" i="11"/>
  <c r="D132" i="11"/>
  <c r="A132" i="11"/>
  <c r="F132" i="11"/>
  <c r="L132" i="11"/>
  <c r="G132" i="16"/>
  <c r="H132" i="16"/>
  <c r="I132" i="16"/>
  <c r="N132" i="11"/>
  <c r="K132" i="16"/>
  <c r="O132" i="11"/>
  <c r="L132" i="16"/>
  <c r="P132" i="11"/>
  <c r="M132" i="16"/>
  <c r="O132" i="16"/>
  <c r="P132" i="16"/>
  <c r="Q132" i="16"/>
  <c r="S132" i="16"/>
  <c r="T132" i="16"/>
  <c r="U132" i="16"/>
  <c r="C133" i="11"/>
  <c r="D133" i="11"/>
  <c r="A133" i="11"/>
  <c r="F133" i="11"/>
  <c r="L133" i="11"/>
  <c r="G133" i="16"/>
  <c r="H133" i="16"/>
  <c r="I133" i="16"/>
  <c r="N133" i="11"/>
  <c r="K133" i="16"/>
  <c r="O133" i="11"/>
  <c r="L133" i="16"/>
  <c r="P133" i="11"/>
  <c r="M133" i="16"/>
  <c r="O133" i="16"/>
  <c r="P133" i="16"/>
  <c r="Q133" i="16"/>
  <c r="S133" i="16"/>
  <c r="T133" i="16"/>
  <c r="U133" i="16"/>
  <c r="G134" i="16"/>
  <c r="H134" i="16"/>
  <c r="I134" i="16"/>
  <c r="K134" i="16"/>
  <c r="L134" i="16"/>
  <c r="M134" i="16"/>
  <c r="O134" i="16"/>
  <c r="P134" i="16"/>
  <c r="Q134" i="16"/>
  <c r="S134" i="16"/>
  <c r="T134" i="16"/>
  <c r="U134" i="16"/>
  <c r="L19" i="18"/>
  <c r="L20" i="18"/>
  <c r="L21" i="18"/>
  <c r="L22" i="18"/>
  <c r="L23" i="18"/>
  <c r="L24" i="18"/>
  <c r="L25" i="18"/>
  <c r="L26" i="18"/>
  <c r="L27" i="18"/>
  <c r="L28" i="18"/>
  <c r="L29" i="18"/>
  <c r="T29" i="18"/>
  <c r="K6" i="18"/>
  <c r="K19" i="18"/>
  <c r="K20" i="18"/>
  <c r="K21" i="18"/>
  <c r="K22" i="18"/>
  <c r="K23" i="18"/>
  <c r="K24" i="18"/>
  <c r="K25" i="18"/>
  <c r="K26" i="18"/>
  <c r="K27" i="18"/>
  <c r="K28" i="18"/>
  <c r="K29" i="18"/>
  <c r="S29" i="18"/>
  <c r="J6" i="18"/>
  <c r="J19" i="18"/>
  <c r="J20" i="18"/>
  <c r="J21" i="18"/>
  <c r="J22" i="18"/>
  <c r="J23" i="18"/>
  <c r="J24" i="18"/>
  <c r="J25" i="18"/>
  <c r="J26" i="18"/>
  <c r="J27" i="18"/>
  <c r="J28" i="18"/>
  <c r="J29" i="18"/>
  <c r="R29" i="18"/>
  <c r="P29" i="18"/>
  <c r="O29" i="18"/>
  <c r="N29" i="18"/>
  <c r="C8" i="15"/>
  <c r="D7" i="15"/>
  <c r="D8" i="15"/>
  <c r="C6" i="15"/>
  <c r="A8" i="15"/>
  <c r="C9" i="15"/>
  <c r="D9" i="15"/>
  <c r="A9" i="15"/>
  <c r="C10" i="15"/>
  <c r="D10" i="15"/>
  <c r="A10" i="15"/>
  <c r="C11" i="15"/>
  <c r="D11" i="15"/>
  <c r="A11" i="15"/>
  <c r="C12" i="15"/>
  <c r="D12" i="15"/>
  <c r="A12" i="15"/>
  <c r="C13" i="15"/>
  <c r="D13" i="15"/>
  <c r="A13" i="15"/>
  <c r="C14" i="15"/>
  <c r="D14" i="15"/>
  <c r="A14" i="15"/>
  <c r="C15" i="15"/>
  <c r="D15" i="15"/>
  <c r="A15" i="15"/>
  <c r="C16" i="15"/>
  <c r="D16" i="15"/>
  <c r="A16" i="15"/>
  <c r="C17" i="15"/>
  <c r="D17" i="15"/>
  <c r="A17" i="15"/>
  <c r="D18" i="15"/>
  <c r="A18" i="15"/>
  <c r="D21" i="15"/>
  <c r="A21" i="15"/>
  <c r="C22" i="15"/>
  <c r="D22" i="15"/>
  <c r="A22" i="15"/>
  <c r="C23" i="15"/>
  <c r="D23" i="15"/>
  <c r="A23" i="15"/>
  <c r="C24" i="15"/>
  <c r="D24" i="15"/>
  <c r="A24" i="15"/>
  <c r="C25" i="15"/>
  <c r="D25" i="15"/>
  <c r="A25" i="15"/>
  <c r="C26" i="15"/>
  <c r="D26" i="15"/>
  <c r="A26" i="15"/>
  <c r="C27" i="15"/>
  <c r="D27" i="15"/>
  <c r="A27" i="15"/>
  <c r="C28" i="15"/>
  <c r="D28" i="15"/>
  <c r="A28" i="15"/>
  <c r="C29" i="15"/>
  <c r="D29" i="15"/>
  <c r="A29" i="15"/>
  <c r="C30" i="15"/>
  <c r="D30" i="15"/>
  <c r="A30" i="15"/>
  <c r="D31" i="15"/>
  <c r="A31" i="15"/>
  <c r="D34" i="15"/>
  <c r="A34" i="15"/>
  <c r="C35" i="15"/>
  <c r="D35" i="15"/>
  <c r="A35" i="15"/>
  <c r="C36" i="15"/>
  <c r="D36" i="15"/>
  <c r="A36" i="15"/>
  <c r="C37" i="15"/>
  <c r="D37" i="15"/>
  <c r="A37" i="15"/>
  <c r="C38" i="15"/>
  <c r="D38" i="15"/>
  <c r="A38" i="15"/>
  <c r="C39" i="15"/>
  <c r="D39" i="15"/>
  <c r="A39" i="15"/>
  <c r="C40" i="15"/>
  <c r="D40" i="15"/>
  <c r="A40" i="15"/>
  <c r="C41" i="15"/>
  <c r="D41" i="15"/>
  <c r="A41" i="15"/>
  <c r="C42" i="15"/>
  <c r="D42" i="15"/>
  <c r="A42" i="15"/>
  <c r="C43" i="15"/>
  <c r="D43" i="15"/>
  <c r="A43" i="15"/>
  <c r="D44" i="15"/>
  <c r="A44" i="15"/>
  <c r="D47" i="15"/>
  <c r="A47" i="15"/>
  <c r="C48" i="15"/>
  <c r="D48" i="15"/>
  <c r="A48" i="15"/>
  <c r="C49" i="15"/>
  <c r="D49" i="15"/>
  <c r="A49" i="15"/>
  <c r="C50" i="15"/>
  <c r="D50" i="15"/>
  <c r="A50" i="15"/>
  <c r="C51" i="15"/>
  <c r="D51" i="15"/>
  <c r="A51" i="15"/>
  <c r="C52" i="15"/>
  <c r="D52" i="15"/>
  <c r="A52" i="15"/>
  <c r="C53" i="15"/>
  <c r="D53" i="15"/>
  <c r="A53" i="15"/>
  <c r="C54" i="15"/>
  <c r="D54" i="15"/>
  <c r="A54" i="15"/>
  <c r="C55" i="15"/>
  <c r="D55" i="15"/>
  <c r="A55" i="15"/>
  <c r="C56" i="15"/>
  <c r="D56" i="15"/>
  <c r="A56" i="15"/>
  <c r="D57" i="15"/>
  <c r="A57" i="15"/>
  <c r="D60" i="15"/>
  <c r="A60" i="15"/>
  <c r="C61" i="15"/>
  <c r="D61" i="15"/>
  <c r="A61" i="15"/>
  <c r="C62" i="15"/>
  <c r="D62" i="15"/>
  <c r="A62" i="15"/>
  <c r="C63" i="15"/>
  <c r="D63" i="15"/>
  <c r="A63" i="15"/>
  <c r="C64" i="15"/>
  <c r="D64" i="15"/>
  <c r="A64" i="15"/>
  <c r="C65" i="15"/>
  <c r="D65" i="15"/>
  <c r="A65" i="15"/>
  <c r="C66" i="15"/>
  <c r="D66" i="15"/>
  <c r="A66" i="15"/>
  <c r="C67" i="15"/>
  <c r="D67" i="15"/>
  <c r="A67" i="15"/>
  <c r="C68" i="15"/>
  <c r="D68" i="15"/>
  <c r="A68" i="15"/>
  <c r="C69" i="15"/>
  <c r="D69" i="15"/>
  <c r="A69" i="15"/>
  <c r="D70" i="15"/>
  <c r="A70" i="15"/>
  <c r="D73" i="15"/>
  <c r="A73" i="15"/>
  <c r="C74" i="15"/>
  <c r="D74" i="15"/>
  <c r="A74" i="15"/>
  <c r="C75" i="15"/>
  <c r="D75" i="15"/>
  <c r="A75" i="15"/>
  <c r="C76" i="15"/>
  <c r="D76" i="15"/>
  <c r="A76" i="15"/>
  <c r="C77" i="15"/>
  <c r="D77" i="15"/>
  <c r="A77" i="15"/>
  <c r="C78" i="15"/>
  <c r="D78" i="15"/>
  <c r="A78" i="15"/>
  <c r="C79" i="15"/>
  <c r="D79" i="15"/>
  <c r="A79" i="15"/>
  <c r="C80" i="15"/>
  <c r="D80" i="15"/>
  <c r="A80" i="15"/>
  <c r="C81" i="15"/>
  <c r="D81" i="15"/>
  <c r="A81" i="15"/>
  <c r="C82" i="15"/>
  <c r="D82" i="15"/>
  <c r="A82" i="15"/>
  <c r="D83" i="15"/>
  <c r="A83" i="15"/>
  <c r="D86" i="15"/>
  <c r="A86" i="15"/>
  <c r="C87" i="15"/>
  <c r="D87" i="15"/>
  <c r="A87" i="15"/>
  <c r="C88" i="15"/>
  <c r="D88" i="15"/>
  <c r="A88" i="15"/>
  <c r="C89" i="15"/>
  <c r="D89" i="15"/>
  <c r="A89" i="15"/>
  <c r="C90" i="15"/>
  <c r="D90" i="15"/>
  <c r="A90" i="15"/>
  <c r="C91" i="15"/>
  <c r="D91" i="15"/>
  <c r="A91" i="15"/>
  <c r="C92" i="15"/>
  <c r="D92" i="15"/>
  <c r="A92" i="15"/>
  <c r="C93" i="15"/>
  <c r="D93" i="15"/>
  <c r="A93" i="15"/>
  <c r="C94" i="15"/>
  <c r="D94" i="15"/>
  <c r="A94" i="15"/>
  <c r="C95" i="15"/>
  <c r="D95" i="15"/>
  <c r="A95" i="15"/>
  <c r="D96" i="15"/>
  <c r="A96" i="15"/>
  <c r="D99" i="15"/>
  <c r="A99" i="15"/>
  <c r="C100" i="15"/>
  <c r="D100" i="15"/>
  <c r="A100" i="15"/>
  <c r="C101" i="15"/>
  <c r="D101" i="15"/>
  <c r="A101" i="15"/>
  <c r="C102" i="15"/>
  <c r="D102" i="15"/>
  <c r="A102" i="15"/>
  <c r="C103" i="15"/>
  <c r="D103" i="15"/>
  <c r="A103" i="15"/>
  <c r="C104" i="15"/>
  <c r="D104" i="15"/>
  <c r="A104" i="15"/>
  <c r="C105" i="15"/>
  <c r="D105" i="15"/>
  <c r="A105" i="15"/>
  <c r="C106" i="15"/>
  <c r="D106" i="15"/>
  <c r="A106" i="15"/>
  <c r="C107" i="15"/>
  <c r="D107" i="15"/>
  <c r="A107" i="15"/>
  <c r="C108" i="15"/>
  <c r="D108" i="15"/>
  <c r="A108" i="15"/>
  <c r="D109" i="15"/>
  <c r="A109" i="15"/>
  <c r="D112" i="15"/>
  <c r="A112" i="15"/>
  <c r="C113" i="15"/>
  <c r="D113" i="15"/>
  <c r="A113" i="15"/>
  <c r="C114" i="15"/>
  <c r="D114" i="15"/>
  <c r="A114" i="15"/>
  <c r="C115" i="15"/>
  <c r="D115" i="15"/>
  <c r="A115" i="15"/>
  <c r="C116" i="15"/>
  <c r="D116" i="15"/>
  <c r="A116" i="15"/>
  <c r="C117" i="15"/>
  <c r="D117" i="15"/>
  <c r="A117" i="15"/>
  <c r="C118" i="15"/>
  <c r="D118" i="15"/>
  <c r="A118" i="15"/>
  <c r="C119" i="15"/>
  <c r="D119" i="15"/>
  <c r="A119" i="15"/>
  <c r="C120" i="15"/>
  <c r="D120" i="15"/>
  <c r="A120" i="15"/>
  <c r="C121" i="15"/>
  <c r="D121" i="15"/>
  <c r="A121" i="15"/>
  <c r="D122" i="15"/>
  <c r="A122" i="15"/>
  <c r="D125" i="15"/>
  <c r="A125" i="15"/>
  <c r="C126" i="15"/>
  <c r="D126" i="15"/>
  <c r="A126" i="15"/>
  <c r="C127" i="15"/>
  <c r="D127" i="15"/>
  <c r="A127" i="15"/>
  <c r="C128" i="15"/>
  <c r="D128" i="15"/>
  <c r="A128" i="15"/>
  <c r="C129" i="15"/>
  <c r="D129" i="15"/>
  <c r="A129" i="15"/>
  <c r="C130" i="15"/>
  <c r="D130" i="15"/>
  <c r="A130" i="15"/>
  <c r="C131" i="15"/>
  <c r="D131" i="15"/>
  <c r="A131" i="15"/>
  <c r="C132" i="15"/>
  <c r="D132" i="15"/>
  <c r="A132" i="15"/>
  <c r="C133" i="15"/>
  <c r="D133" i="15"/>
  <c r="A133" i="15"/>
  <c r="C134" i="15"/>
  <c r="D134" i="15"/>
  <c r="A134" i="15"/>
  <c r="D135" i="15"/>
  <c r="A135" i="15"/>
  <c r="G5" i="15"/>
  <c r="G1" i="15"/>
  <c r="H5" i="15"/>
  <c r="H1" i="15"/>
  <c r="I5" i="15"/>
  <c r="I1" i="15"/>
  <c r="K5" i="15"/>
  <c r="K1" i="15"/>
  <c r="L5" i="15"/>
  <c r="L1" i="15"/>
  <c r="M5" i="15"/>
  <c r="M1" i="15"/>
  <c r="O5" i="15"/>
  <c r="O1" i="15"/>
  <c r="P5" i="15"/>
  <c r="P1" i="15"/>
  <c r="Q5" i="15"/>
  <c r="Q1" i="15"/>
  <c r="S5" i="15"/>
  <c r="S1" i="15"/>
  <c r="T5" i="15"/>
  <c r="T1" i="15"/>
  <c r="U5" i="15"/>
  <c r="U1" i="15"/>
  <c r="D6" i="15"/>
  <c r="C7" i="7"/>
  <c r="D6" i="7"/>
  <c r="D7" i="7"/>
  <c r="C5" i="7"/>
  <c r="A7" i="7"/>
  <c r="F7" i="7"/>
  <c r="L7" i="7"/>
  <c r="G8" i="15"/>
  <c r="H8" i="15"/>
  <c r="I8" i="15"/>
  <c r="N7" i="7"/>
  <c r="K8" i="15"/>
  <c r="O7" i="7"/>
  <c r="L8" i="15"/>
  <c r="P7" i="7"/>
  <c r="M8" i="15"/>
  <c r="O8" i="15"/>
  <c r="P8" i="15"/>
  <c r="Q8" i="15"/>
  <c r="S8" i="15"/>
  <c r="T8" i="15"/>
  <c r="U8" i="15"/>
  <c r="C8" i="7"/>
  <c r="D8" i="7"/>
  <c r="A8" i="7"/>
  <c r="F8" i="7"/>
  <c r="L8" i="7"/>
  <c r="G9" i="15"/>
  <c r="H9" i="15"/>
  <c r="I9" i="15"/>
  <c r="K9" i="15"/>
  <c r="L9" i="15"/>
  <c r="M9" i="15"/>
  <c r="O9" i="15"/>
  <c r="P9" i="15"/>
  <c r="Q9" i="15"/>
  <c r="S9" i="15"/>
  <c r="T9" i="15"/>
  <c r="U9" i="15"/>
  <c r="C9" i="7"/>
  <c r="D9" i="7"/>
  <c r="A9" i="7"/>
  <c r="F9" i="7"/>
  <c r="L9" i="7"/>
  <c r="G10" i="15"/>
  <c r="H10" i="15"/>
  <c r="I10" i="15"/>
  <c r="N9" i="7"/>
  <c r="K10" i="15"/>
  <c r="L10" i="15"/>
  <c r="M10" i="15"/>
  <c r="O10" i="15"/>
  <c r="P10" i="15"/>
  <c r="Q10" i="15"/>
  <c r="S10" i="15"/>
  <c r="T10" i="15"/>
  <c r="U10" i="15"/>
  <c r="C10" i="7"/>
  <c r="D10" i="7"/>
  <c r="A10" i="7"/>
  <c r="F10" i="7"/>
  <c r="L10" i="7"/>
  <c r="G11" i="15"/>
  <c r="H11" i="15"/>
  <c r="I11" i="15"/>
  <c r="K11" i="15"/>
  <c r="L11" i="15"/>
  <c r="M11" i="15"/>
  <c r="O11" i="15"/>
  <c r="P11" i="15"/>
  <c r="Q11" i="15"/>
  <c r="S11" i="15"/>
  <c r="T11" i="15"/>
  <c r="U11" i="15"/>
  <c r="C11" i="7"/>
  <c r="D11" i="7"/>
  <c r="A11" i="7"/>
  <c r="F11" i="7"/>
  <c r="L11" i="7"/>
  <c r="G12" i="15"/>
  <c r="H12" i="15"/>
  <c r="I12" i="15"/>
  <c r="N11" i="7"/>
  <c r="K12" i="15"/>
  <c r="O11" i="7"/>
  <c r="L12" i="15"/>
  <c r="P11" i="7"/>
  <c r="M12" i="15"/>
  <c r="O12" i="15"/>
  <c r="P12" i="15"/>
  <c r="Q12" i="15"/>
  <c r="S12" i="15"/>
  <c r="T12" i="15"/>
  <c r="U12" i="15"/>
  <c r="C12" i="7"/>
  <c r="D12" i="7"/>
  <c r="A12" i="7"/>
  <c r="F12" i="7"/>
  <c r="L12" i="7"/>
  <c r="G13" i="15"/>
  <c r="H13" i="15"/>
  <c r="I13" i="15"/>
  <c r="N12" i="7"/>
  <c r="K13" i="15"/>
  <c r="O12" i="7"/>
  <c r="L13" i="15"/>
  <c r="P12" i="7"/>
  <c r="M13" i="15"/>
  <c r="O13" i="15"/>
  <c r="P13" i="15"/>
  <c r="Q13" i="15"/>
  <c r="S13" i="15"/>
  <c r="T13" i="15"/>
  <c r="U13" i="15"/>
  <c r="C13" i="7"/>
  <c r="D13" i="7"/>
  <c r="A13" i="7"/>
  <c r="F13" i="7"/>
  <c r="L13" i="7"/>
  <c r="G14" i="15"/>
  <c r="H14" i="15"/>
  <c r="I14" i="15"/>
  <c r="N13" i="7"/>
  <c r="K14" i="15"/>
  <c r="O13" i="7"/>
  <c r="L14" i="15"/>
  <c r="P13" i="7"/>
  <c r="M14" i="15"/>
  <c r="O14" i="15"/>
  <c r="P14" i="15"/>
  <c r="Q14" i="15"/>
  <c r="S14" i="15"/>
  <c r="T14" i="15"/>
  <c r="U14" i="15"/>
  <c r="C14" i="7"/>
  <c r="D14" i="7"/>
  <c r="A14" i="7"/>
  <c r="F14" i="7"/>
  <c r="L14" i="7"/>
  <c r="G15" i="15"/>
  <c r="H15" i="15"/>
  <c r="I15" i="15"/>
  <c r="N14" i="7"/>
  <c r="K15" i="15"/>
  <c r="O14" i="7"/>
  <c r="L15" i="15"/>
  <c r="P14" i="7"/>
  <c r="M15" i="15"/>
  <c r="O15" i="15"/>
  <c r="P15" i="15"/>
  <c r="Q15" i="15"/>
  <c r="S15" i="15"/>
  <c r="T15" i="15"/>
  <c r="U15" i="15"/>
  <c r="C15" i="7"/>
  <c r="D15" i="7"/>
  <c r="A15" i="7"/>
  <c r="F15" i="7"/>
  <c r="L15" i="7"/>
  <c r="G16" i="15"/>
  <c r="H16" i="15"/>
  <c r="I16" i="15"/>
  <c r="N15" i="7"/>
  <c r="K16" i="15"/>
  <c r="O15" i="7"/>
  <c r="L16" i="15"/>
  <c r="P15" i="7"/>
  <c r="M16" i="15"/>
  <c r="O16" i="15"/>
  <c r="P16" i="15"/>
  <c r="Q16" i="15"/>
  <c r="S16" i="15"/>
  <c r="T16" i="15"/>
  <c r="U16" i="15"/>
  <c r="C16" i="7"/>
  <c r="D16" i="7"/>
  <c r="A16" i="7"/>
  <c r="F16" i="7"/>
  <c r="L16" i="7"/>
  <c r="G17" i="15"/>
  <c r="H17" i="15"/>
  <c r="I17" i="15"/>
  <c r="N16" i="7"/>
  <c r="K17" i="15"/>
  <c r="O16" i="7"/>
  <c r="L17" i="15"/>
  <c r="P16" i="7"/>
  <c r="M17" i="15"/>
  <c r="O17" i="15"/>
  <c r="P17" i="15"/>
  <c r="Q17" i="15"/>
  <c r="S17" i="15"/>
  <c r="T17" i="15"/>
  <c r="U17" i="15"/>
  <c r="G18" i="15"/>
  <c r="H18" i="15"/>
  <c r="I18" i="15"/>
  <c r="K18" i="15"/>
  <c r="L18" i="15"/>
  <c r="M18" i="15"/>
  <c r="O18" i="15"/>
  <c r="P18" i="15"/>
  <c r="Q18" i="15"/>
  <c r="S18" i="15"/>
  <c r="T18" i="15"/>
  <c r="U18" i="15"/>
  <c r="D20" i="15"/>
  <c r="C20" i="7"/>
  <c r="D20" i="7"/>
  <c r="A20" i="7"/>
  <c r="F20" i="7"/>
  <c r="L20" i="7"/>
  <c r="G21" i="15"/>
  <c r="H21" i="15"/>
  <c r="I21" i="15"/>
  <c r="K21" i="15"/>
  <c r="L21" i="15"/>
  <c r="M21" i="15"/>
  <c r="O21" i="15"/>
  <c r="P21" i="15"/>
  <c r="Q21" i="15"/>
  <c r="S21" i="15"/>
  <c r="T21" i="15"/>
  <c r="U21" i="15"/>
  <c r="C21" i="7"/>
  <c r="D21" i="7"/>
  <c r="A21" i="7"/>
  <c r="F21" i="7"/>
  <c r="L21" i="7"/>
  <c r="G22" i="15"/>
  <c r="H22" i="15"/>
  <c r="I22" i="15"/>
  <c r="N21" i="7"/>
  <c r="K22" i="15"/>
  <c r="L22" i="15"/>
  <c r="M22" i="15"/>
  <c r="O22" i="15"/>
  <c r="P22" i="15"/>
  <c r="Q22" i="15"/>
  <c r="S22" i="15"/>
  <c r="T22" i="15"/>
  <c r="U22" i="15"/>
  <c r="C22" i="7"/>
  <c r="D22" i="7"/>
  <c r="A22" i="7"/>
  <c r="F22" i="7"/>
  <c r="L22" i="7"/>
  <c r="G23" i="15"/>
  <c r="H23" i="15"/>
  <c r="I23" i="15"/>
  <c r="N22" i="7"/>
  <c r="K23" i="15"/>
  <c r="O22" i="7"/>
  <c r="L23" i="15"/>
  <c r="P22" i="7"/>
  <c r="M23" i="15"/>
  <c r="O23" i="15"/>
  <c r="P23" i="15"/>
  <c r="Q23" i="15"/>
  <c r="S23" i="15"/>
  <c r="T23" i="15"/>
  <c r="U23" i="15"/>
  <c r="C23" i="7"/>
  <c r="D23" i="7"/>
  <c r="A23" i="7"/>
  <c r="F23" i="7"/>
  <c r="L23" i="7"/>
  <c r="G24" i="15"/>
  <c r="H24" i="15"/>
  <c r="I24" i="15"/>
  <c r="N23" i="7"/>
  <c r="K24" i="15"/>
  <c r="O23" i="7"/>
  <c r="L24" i="15"/>
  <c r="P23" i="7"/>
  <c r="M24" i="15"/>
  <c r="O24" i="15"/>
  <c r="P24" i="15"/>
  <c r="Q24" i="15"/>
  <c r="S24" i="15"/>
  <c r="T24" i="15"/>
  <c r="U24" i="15"/>
  <c r="C24" i="7"/>
  <c r="D24" i="7"/>
  <c r="A24" i="7"/>
  <c r="F24" i="7"/>
  <c r="L24" i="7"/>
  <c r="G25" i="15"/>
  <c r="H25" i="15"/>
  <c r="I25" i="15"/>
  <c r="N24" i="7"/>
  <c r="K25" i="15"/>
  <c r="O24" i="7"/>
  <c r="L25" i="15"/>
  <c r="P24" i="7"/>
  <c r="M25" i="15"/>
  <c r="O25" i="15"/>
  <c r="P25" i="15"/>
  <c r="Q25" i="15"/>
  <c r="S25" i="15"/>
  <c r="T25" i="15"/>
  <c r="U25" i="15"/>
  <c r="C25" i="7"/>
  <c r="D25" i="7"/>
  <c r="A25" i="7"/>
  <c r="F25" i="7"/>
  <c r="L25" i="7"/>
  <c r="G26" i="15"/>
  <c r="H26" i="15"/>
  <c r="I26" i="15"/>
  <c r="N25" i="7"/>
  <c r="K26" i="15"/>
  <c r="O25" i="7"/>
  <c r="L26" i="15"/>
  <c r="P25" i="7"/>
  <c r="M26" i="15"/>
  <c r="O26" i="15"/>
  <c r="P26" i="15"/>
  <c r="Q26" i="15"/>
  <c r="S26" i="15"/>
  <c r="T26" i="15"/>
  <c r="U26" i="15"/>
  <c r="C26" i="7"/>
  <c r="D26" i="7"/>
  <c r="A26" i="7"/>
  <c r="F26" i="7"/>
  <c r="L26" i="7"/>
  <c r="G27" i="15"/>
  <c r="H27" i="15"/>
  <c r="I27" i="15"/>
  <c r="N26" i="7"/>
  <c r="K27" i="15"/>
  <c r="L27" i="15"/>
  <c r="M27" i="15"/>
  <c r="O27" i="15"/>
  <c r="P27" i="15"/>
  <c r="Q27" i="15"/>
  <c r="S27" i="15"/>
  <c r="T27" i="15"/>
  <c r="U27" i="15"/>
  <c r="C27" i="7"/>
  <c r="D27" i="7"/>
  <c r="A27" i="7"/>
  <c r="F27" i="7"/>
  <c r="L27" i="7"/>
  <c r="G28" i="15"/>
  <c r="H28" i="15"/>
  <c r="I28" i="15"/>
  <c r="N27" i="7"/>
  <c r="K28" i="15"/>
  <c r="O27" i="7"/>
  <c r="L28" i="15"/>
  <c r="P27" i="7"/>
  <c r="M28" i="15"/>
  <c r="O28" i="15"/>
  <c r="P28" i="15"/>
  <c r="Q28" i="15"/>
  <c r="S28" i="15"/>
  <c r="T28" i="15"/>
  <c r="U28" i="15"/>
  <c r="C28" i="7"/>
  <c r="D28" i="7"/>
  <c r="A28" i="7"/>
  <c r="F28" i="7"/>
  <c r="L28" i="7"/>
  <c r="G29" i="15"/>
  <c r="H29" i="15"/>
  <c r="I29" i="15"/>
  <c r="N28" i="7"/>
  <c r="K29" i="15"/>
  <c r="O28" i="7"/>
  <c r="L29" i="15"/>
  <c r="P28" i="7"/>
  <c r="M29" i="15"/>
  <c r="O29" i="15"/>
  <c r="P29" i="15"/>
  <c r="Q29" i="15"/>
  <c r="S29" i="15"/>
  <c r="T29" i="15"/>
  <c r="U29" i="15"/>
  <c r="C29" i="7"/>
  <c r="D29" i="7"/>
  <c r="A29" i="7"/>
  <c r="F29" i="7"/>
  <c r="L29" i="7"/>
  <c r="G30" i="15"/>
  <c r="H30" i="15"/>
  <c r="I30" i="15"/>
  <c r="N29" i="7"/>
  <c r="K30" i="15"/>
  <c r="O29" i="7"/>
  <c r="L30" i="15"/>
  <c r="P29" i="7"/>
  <c r="M30" i="15"/>
  <c r="O30" i="15"/>
  <c r="P30" i="15"/>
  <c r="Q30" i="15"/>
  <c r="S30" i="15"/>
  <c r="T30" i="15"/>
  <c r="U30" i="15"/>
  <c r="G31" i="15"/>
  <c r="H31" i="15"/>
  <c r="I31" i="15"/>
  <c r="K31" i="15"/>
  <c r="L31" i="15"/>
  <c r="M31" i="15"/>
  <c r="O31" i="15"/>
  <c r="P31" i="15"/>
  <c r="Q31" i="15"/>
  <c r="S31" i="15"/>
  <c r="T31" i="15"/>
  <c r="U31" i="15"/>
  <c r="D33" i="15"/>
  <c r="C33" i="7"/>
  <c r="D33" i="7"/>
  <c r="A33" i="7"/>
  <c r="F33" i="7"/>
  <c r="L33" i="7"/>
  <c r="G34" i="15"/>
  <c r="H34" i="15"/>
  <c r="I34" i="15"/>
  <c r="N33" i="7"/>
  <c r="K34" i="15"/>
  <c r="O33" i="7"/>
  <c r="L34" i="15"/>
  <c r="P33" i="7"/>
  <c r="M34" i="15"/>
  <c r="O34" i="15"/>
  <c r="P34" i="15"/>
  <c r="Q34" i="15"/>
  <c r="S34" i="15"/>
  <c r="T34" i="15"/>
  <c r="U34" i="15"/>
  <c r="C34" i="7"/>
  <c r="D34" i="7"/>
  <c r="A34" i="7"/>
  <c r="F34" i="7"/>
  <c r="L34" i="7"/>
  <c r="G35" i="15"/>
  <c r="H35" i="15"/>
  <c r="I35" i="15"/>
  <c r="N34" i="7"/>
  <c r="K35" i="15"/>
  <c r="O34" i="7"/>
  <c r="L35" i="15"/>
  <c r="P34" i="7"/>
  <c r="M35" i="15"/>
  <c r="O35" i="15"/>
  <c r="P35" i="15"/>
  <c r="Q35" i="15"/>
  <c r="S35" i="15"/>
  <c r="T35" i="15"/>
  <c r="U35" i="15"/>
  <c r="C35" i="7"/>
  <c r="D35" i="7"/>
  <c r="A35" i="7"/>
  <c r="F35" i="7"/>
  <c r="L35" i="7"/>
  <c r="G36" i="15"/>
  <c r="H36" i="15"/>
  <c r="I36" i="15"/>
  <c r="N35" i="7"/>
  <c r="K36" i="15"/>
  <c r="O35" i="7"/>
  <c r="L36" i="15"/>
  <c r="P35" i="7"/>
  <c r="M36" i="15"/>
  <c r="O36" i="15"/>
  <c r="P36" i="15"/>
  <c r="Q36" i="15"/>
  <c r="S36" i="15"/>
  <c r="T36" i="15"/>
  <c r="U36" i="15"/>
  <c r="C36" i="7"/>
  <c r="D36" i="7"/>
  <c r="A36" i="7"/>
  <c r="F36" i="7"/>
  <c r="L36" i="7"/>
  <c r="G37" i="15"/>
  <c r="H37" i="15"/>
  <c r="I37" i="15"/>
  <c r="N36" i="7"/>
  <c r="K37" i="15"/>
  <c r="O36" i="7"/>
  <c r="L37" i="15"/>
  <c r="P36" i="7"/>
  <c r="M37" i="15"/>
  <c r="O37" i="15"/>
  <c r="P37" i="15"/>
  <c r="Q37" i="15"/>
  <c r="S37" i="15"/>
  <c r="T37" i="15"/>
  <c r="U37" i="15"/>
  <c r="C37" i="7"/>
  <c r="D37" i="7"/>
  <c r="A37" i="7"/>
  <c r="F37" i="7"/>
  <c r="L37" i="7"/>
  <c r="G38" i="15"/>
  <c r="H38" i="15"/>
  <c r="I38" i="15"/>
  <c r="N37" i="7"/>
  <c r="K38" i="15"/>
  <c r="O37" i="7"/>
  <c r="L38" i="15"/>
  <c r="P37" i="7"/>
  <c r="M38" i="15"/>
  <c r="O38" i="15"/>
  <c r="P38" i="15"/>
  <c r="Q38" i="15"/>
  <c r="S38" i="15"/>
  <c r="T38" i="15"/>
  <c r="U38" i="15"/>
  <c r="C38" i="7"/>
  <c r="D38" i="7"/>
  <c r="A38" i="7"/>
  <c r="F38" i="7"/>
  <c r="L38" i="7"/>
  <c r="G39" i="15"/>
  <c r="H39" i="15"/>
  <c r="I39" i="15"/>
  <c r="N38" i="7"/>
  <c r="K39" i="15"/>
  <c r="O38" i="7"/>
  <c r="L39" i="15"/>
  <c r="P38" i="7"/>
  <c r="M39" i="15"/>
  <c r="O39" i="15"/>
  <c r="P39" i="15"/>
  <c r="Q39" i="15"/>
  <c r="S39" i="15"/>
  <c r="T39" i="15"/>
  <c r="U39" i="15"/>
  <c r="C39" i="7"/>
  <c r="D39" i="7"/>
  <c r="A39" i="7"/>
  <c r="F39" i="7"/>
  <c r="L39" i="7"/>
  <c r="G40" i="15"/>
  <c r="H40" i="15"/>
  <c r="I40" i="15"/>
  <c r="K40" i="15"/>
  <c r="L40" i="15"/>
  <c r="P39" i="7"/>
  <c r="M40" i="15"/>
  <c r="O40" i="15"/>
  <c r="P40" i="15"/>
  <c r="Q40" i="15"/>
  <c r="S40" i="15"/>
  <c r="T40" i="15"/>
  <c r="U40" i="15"/>
  <c r="C40" i="7"/>
  <c r="D40" i="7"/>
  <c r="A40" i="7"/>
  <c r="F40" i="7"/>
  <c r="L40" i="7"/>
  <c r="G41" i="15"/>
  <c r="H41" i="15"/>
  <c r="I41" i="15"/>
  <c r="N40" i="7"/>
  <c r="K41" i="15"/>
  <c r="O40" i="7"/>
  <c r="L41" i="15"/>
  <c r="P40" i="7"/>
  <c r="M41" i="15"/>
  <c r="O41" i="15"/>
  <c r="P41" i="15"/>
  <c r="Q41" i="15"/>
  <c r="S41" i="15"/>
  <c r="T41" i="15"/>
  <c r="U41" i="15"/>
  <c r="C41" i="7"/>
  <c r="D41" i="7"/>
  <c r="A41" i="7"/>
  <c r="F41" i="7"/>
  <c r="L41" i="7"/>
  <c r="G42" i="15"/>
  <c r="H42" i="15"/>
  <c r="I42" i="15"/>
  <c r="N41" i="7"/>
  <c r="K42" i="15"/>
  <c r="O41" i="7"/>
  <c r="L42" i="15"/>
  <c r="P41" i="7"/>
  <c r="M42" i="15"/>
  <c r="O42" i="15"/>
  <c r="P42" i="15"/>
  <c r="Q42" i="15"/>
  <c r="S42" i="15"/>
  <c r="T42" i="15"/>
  <c r="U42" i="15"/>
  <c r="C42" i="7"/>
  <c r="D42" i="7"/>
  <c r="A42" i="7"/>
  <c r="F42" i="7"/>
  <c r="L42" i="7"/>
  <c r="G43" i="15"/>
  <c r="H43" i="15"/>
  <c r="I43" i="15"/>
  <c r="N42" i="7"/>
  <c r="K43" i="15"/>
  <c r="O42" i="7"/>
  <c r="L43" i="15"/>
  <c r="P42" i="7"/>
  <c r="M43" i="15"/>
  <c r="O43" i="15"/>
  <c r="P43" i="15"/>
  <c r="Q43" i="15"/>
  <c r="S43" i="15"/>
  <c r="T43" i="15"/>
  <c r="U43" i="15"/>
  <c r="G44" i="15"/>
  <c r="H44" i="15"/>
  <c r="I44" i="15"/>
  <c r="K44" i="15"/>
  <c r="L44" i="15"/>
  <c r="M44" i="15"/>
  <c r="O44" i="15"/>
  <c r="P44" i="15"/>
  <c r="Q44" i="15"/>
  <c r="S44" i="15"/>
  <c r="T44" i="15"/>
  <c r="U44" i="15"/>
  <c r="D46" i="15"/>
  <c r="C46" i="7"/>
  <c r="D46" i="7"/>
  <c r="A46" i="7"/>
  <c r="F46" i="7"/>
  <c r="L46" i="7"/>
  <c r="G47" i="15"/>
  <c r="H47" i="15"/>
  <c r="I47" i="15"/>
  <c r="N46" i="7"/>
  <c r="K47" i="15"/>
  <c r="O46" i="7"/>
  <c r="L47" i="15"/>
  <c r="P46" i="7"/>
  <c r="M47" i="15"/>
  <c r="O47" i="15"/>
  <c r="P47" i="15"/>
  <c r="Q47" i="15"/>
  <c r="S47" i="15"/>
  <c r="T47" i="15"/>
  <c r="U47" i="15"/>
  <c r="C47" i="7"/>
  <c r="D47" i="7"/>
  <c r="A47" i="7"/>
  <c r="F47" i="7"/>
  <c r="L47" i="7"/>
  <c r="G48" i="15"/>
  <c r="H48" i="15"/>
  <c r="I48" i="15"/>
  <c r="K48" i="15"/>
  <c r="L48" i="15"/>
  <c r="M48" i="15"/>
  <c r="O48" i="15"/>
  <c r="P48" i="15"/>
  <c r="Q48" i="15"/>
  <c r="S48" i="15"/>
  <c r="T48" i="15"/>
  <c r="U48" i="15"/>
  <c r="C48" i="7"/>
  <c r="D48" i="7"/>
  <c r="A48" i="7"/>
  <c r="F48" i="7"/>
  <c r="L48" i="7"/>
  <c r="G49" i="15"/>
  <c r="H49" i="15"/>
  <c r="I49" i="15"/>
  <c r="K49" i="15"/>
  <c r="O48" i="7"/>
  <c r="L49" i="15"/>
  <c r="P48" i="7"/>
  <c r="M49" i="15"/>
  <c r="O49" i="15"/>
  <c r="P49" i="15"/>
  <c r="Q49" i="15"/>
  <c r="S49" i="15"/>
  <c r="T49" i="15"/>
  <c r="U49" i="15"/>
  <c r="C49" i="7"/>
  <c r="D49" i="7"/>
  <c r="A49" i="7"/>
  <c r="F49" i="7"/>
  <c r="L49" i="7"/>
  <c r="G50" i="15"/>
  <c r="H50" i="15"/>
  <c r="I50" i="15"/>
  <c r="N49" i="7"/>
  <c r="K50" i="15"/>
  <c r="O49" i="7"/>
  <c r="L50" i="15"/>
  <c r="P49" i="7"/>
  <c r="M50" i="15"/>
  <c r="O50" i="15"/>
  <c r="P50" i="15"/>
  <c r="Q50" i="15"/>
  <c r="S50" i="15"/>
  <c r="T50" i="15"/>
  <c r="U50" i="15"/>
  <c r="C50" i="7"/>
  <c r="D50" i="7"/>
  <c r="A50" i="7"/>
  <c r="F50" i="7"/>
  <c r="L50" i="7"/>
  <c r="G51" i="15"/>
  <c r="H51" i="15"/>
  <c r="I51" i="15"/>
  <c r="N50" i="7"/>
  <c r="K51" i="15"/>
  <c r="O50" i="7"/>
  <c r="L51" i="15"/>
  <c r="P50" i="7"/>
  <c r="M51" i="15"/>
  <c r="O51" i="15"/>
  <c r="P51" i="15"/>
  <c r="Q51" i="15"/>
  <c r="S51" i="15"/>
  <c r="T51" i="15"/>
  <c r="U51" i="15"/>
  <c r="C51" i="7"/>
  <c r="D51" i="7"/>
  <c r="A51" i="7"/>
  <c r="F51" i="7"/>
  <c r="L51" i="7"/>
  <c r="G52" i="15"/>
  <c r="H52" i="15"/>
  <c r="I52" i="15"/>
  <c r="N51" i="7"/>
  <c r="K52" i="15"/>
  <c r="O51" i="7"/>
  <c r="L52" i="15"/>
  <c r="P51" i="7"/>
  <c r="M52" i="15"/>
  <c r="O52" i="15"/>
  <c r="P52" i="15"/>
  <c r="Q52" i="15"/>
  <c r="S52" i="15"/>
  <c r="T52" i="15"/>
  <c r="U52" i="15"/>
  <c r="C52" i="7"/>
  <c r="D52" i="7"/>
  <c r="A52" i="7"/>
  <c r="F52" i="7"/>
  <c r="L52" i="7"/>
  <c r="G53" i="15"/>
  <c r="H53" i="15"/>
  <c r="I53" i="15"/>
  <c r="N52" i="7"/>
  <c r="K53" i="15"/>
  <c r="O52" i="7"/>
  <c r="L53" i="15"/>
  <c r="P52" i="7"/>
  <c r="M53" i="15"/>
  <c r="O53" i="15"/>
  <c r="P53" i="15"/>
  <c r="Q53" i="15"/>
  <c r="S53" i="15"/>
  <c r="T53" i="15"/>
  <c r="U53" i="15"/>
  <c r="C53" i="7"/>
  <c r="D53" i="7"/>
  <c r="A53" i="7"/>
  <c r="F53" i="7"/>
  <c r="L53" i="7"/>
  <c r="G54" i="15"/>
  <c r="H54" i="15"/>
  <c r="I54" i="15"/>
  <c r="N53" i="7"/>
  <c r="K54" i="15"/>
  <c r="O53" i="7"/>
  <c r="L54" i="15"/>
  <c r="P53" i="7"/>
  <c r="M54" i="15"/>
  <c r="O54" i="15"/>
  <c r="P54" i="15"/>
  <c r="Q54" i="15"/>
  <c r="S54" i="15"/>
  <c r="T54" i="15"/>
  <c r="U54" i="15"/>
  <c r="C54" i="7"/>
  <c r="D54" i="7"/>
  <c r="A54" i="7"/>
  <c r="F54" i="7"/>
  <c r="L54" i="7"/>
  <c r="G55" i="15"/>
  <c r="H55" i="15"/>
  <c r="I55" i="15"/>
  <c r="N54" i="7"/>
  <c r="K55" i="15"/>
  <c r="O54" i="7"/>
  <c r="L55" i="15"/>
  <c r="P54" i="7"/>
  <c r="M55" i="15"/>
  <c r="O55" i="15"/>
  <c r="P55" i="15"/>
  <c r="Q55" i="15"/>
  <c r="S55" i="15"/>
  <c r="T55" i="15"/>
  <c r="U55" i="15"/>
  <c r="C55" i="7"/>
  <c r="D55" i="7"/>
  <c r="A55" i="7"/>
  <c r="F55" i="7"/>
  <c r="L55" i="7"/>
  <c r="G56" i="15"/>
  <c r="H56" i="15"/>
  <c r="I56" i="15"/>
  <c r="N55" i="7"/>
  <c r="K56" i="15"/>
  <c r="O55" i="7"/>
  <c r="L56" i="15"/>
  <c r="P55" i="7"/>
  <c r="M56" i="15"/>
  <c r="O56" i="15"/>
  <c r="P56" i="15"/>
  <c r="Q56" i="15"/>
  <c r="S56" i="15"/>
  <c r="T56" i="15"/>
  <c r="U56" i="15"/>
  <c r="G57" i="15"/>
  <c r="H57" i="15"/>
  <c r="I57" i="15"/>
  <c r="K57" i="15"/>
  <c r="L57" i="15"/>
  <c r="M57" i="15"/>
  <c r="O57" i="15"/>
  <c r="P57" i="15"/>
  <c r="Q57" i="15"/>
  <c r="S57" i="15"/>
  <c r="T57" i="15"/>
  <c r="U57" i="15"/>
  <c r="D59" i="15"/>
  <c r="C59" i="7"/>
  <c r="D59" i="7"/>
  <c r="A59" i="7"/>
  <c r="F59" i="7"/>
  <c r="L59" i="7"/>
  <c r="G60" i="15"/>
  <c r="H60" i="15"/>
  <c r="I60" i="15"/>
  <c r="N59" i="7"/>
  <c r="K60" i="15"/>
  <c r="O59" i="7"/>
  <c r="L60" i="15"/>
  <c r="P59" i="7"/>
  <c r="M60" i="15"/>
  <c r="O60" i="15"/>
  <c r="P60" i="15"/>
  <c r="Q60" i="15"/>
  <c r="S60" i="15"/>
  <c r="T60" i="15"/>
  <c r="U60" i="15"/>
  <c r="C60" i="7"/>
  <c r="D60" i="7"/>
  <c r="A60" i="7"/>
  <c r="F60" i="7"/>
  <c r="L60" i="7"/>
  <c r="G61" i="15"/>
  <c r="H61" i="15"/>
  <c r="I61" i="15"/>
  <c r="N60" i="7"/>
  <c r="K61" i="15"/>
  <c r="L61" i="15"/>
  <c r="M61" i="15"/>
  <c r="O61" i="15"/>
  <c r="P61" i="15"/>
  <c r="Q61" i="15"/>
  <c r="S61" i="15"/>
  <c r="T61" i="15"/>
  <c r="U61" i="15"/>
  <c r="C61" i="7"/>
  <c r="D61" i="7"/>
  <c r="A61" i="7"/>
  <c r="F61" i="7"/>
  <c r="L61" i="7"/>
  <c r="G62" i="15"/>
  <c r="H62" i="15"/>
  <c r="I62" i="15"/>
  <c r="N61" i="7"/>
  <c r="K62" i="15"/>
  <c r="O61" i="7"/>
  <c r="L62" i="15"/>
  <c r="P61" i="7"/>
  <c r="M62" i="15"/>
  <c r="O62" i="15"/>
  <c r="P62" i="15"/>
  <c r="Q62" i="15"/>
  <c r="S62" i="15"/>
  <c r="T62" i="15"/>
  <c r="U62" i="15"/>
  <c r="C62" i="7"/>
  <c r="D62" i="7"/>
  <c r="A62" i="7"/>
  <c r="F62" i="7"/>
  <c r="L62" i="7"/>
  <c r="G63" i="15"/>
  <c r="H63" i="15"/>
  <c r="I63" i="15"/>
  <c r="N62" i="7"/>
  <c r="K63" i="15"/>
  <c r="O62" i="7"/>
  <c r="L63" i="15"/>
  <c r="P62" i="7"/>
  <c r="M63" i="15"/>
  <c r="O63" i="15"/>
  <c r="P63" i="15"/>
  <c r="Q63" i="15"/>
  <c r="S63" i="15"/>
  <c r="T63" i="15"/>
  <c r="U63" i="15"/>
  <c r="C63" i="7"/>
  <c r="D63" i="7"/>
  <c r="A63" i="7"/>
  <c r="F63" i="7"/>
  <c r="L63" i="7"/>
  <c r="G64" i="15"/>
  <c r="H64" i="15"/>
  <c r="I64" i="15"/>
  <c r="N63" i="7"/>
  <c r="K64" i="15"/>
  <c r="O63" i="7"/>
  <c r="L64" i="15"/>
  <c r="P63" i="7"/>
  <c r="M64" i="15"/>
  <c r="O64" i="15"/>
  <c r="P64" i="15"/>
  <c r="Q64" i="15"/>
  <c r="S64" i="15"/>
  <c r="T64" i="15"/>
  <c r="U64" i="15"/>
  <c r="C64" i="7"/>
  <c r="D64" i="7"/>
  <c r="A64" i="7"/>
  <c r="F64" i="7"/>
  <c r="L64" i="7"/>
  <c r="G65" i="15"/>
  <c r="H65" i="15"/>
  <c r="I65" i="15"/>
  <c r="N64" i="7"/>
  <c r="K65" i="15"/>
  <c r="O64" i="7"/>
  <c r="L65" i="15"/>
  <c r="P64" i="7"/>
  <c r="M65" i="15"/>
  <c r="O65" i="15"/>
  <c r="P65" i="15"/>
  <c r="Q65" i="15"/>
  <c r="S65" i="15"/>
  <c r="T65" i="15"/>
  <c r="U65" i="15"/>
  <c r="C65" i="7"/>
  <c r="D65" i="7"/>
  <c r="A65" i="7"/>
  <c r="F65" i="7"/>
  <c r="L65" i="7"/>
  <c r="G66" i="15"/>
  <c r="H66" i="15"/>
  <c r="I66" i="15"/>
  <c r="N65" i="7"/>
  <c r="K66" i="15"/>
  <c r="O65" i="7"/>
  <c r="L66" i="15"/>
  <c r="P65" i="7"/>
  <c r="M66" i="15"/>
  <c r="O66" i="15"/>
  <c r="P66" i="15"/>
  <c r="Q66" i="15"/>
  <c r="S66" i="15"/>
  <c r="T66" i="15"/>
  <c r="U66" i="15"/>
  <c r="C66" i="7"/>
  <c r="D66" i="7"/>
  <c r="A66" i="7"/>
  <c r="F66" i="7"/>
  <c r="L66" i="7"/>
  <c r="G67" i="15"/>
  <c r="H67" i="15"/>
  <c r="I67" i="15"/>
  <c r="N66" i="7"/>
  <c r="K67" i="15"/>
  <c r="O66" i="7"/>
  <c r="L67" i="15"/>
  <c r="P66" i="7"/>
  <c r="M67" i="15"/>
  <c r="O67" i="15"/>
  <c r="P67" i="15"/>
  <c r="Q67" i="15"/>
  <c r="S67" i="15"/>
  <c r="T67" i="15"/>
  <c r="U67" i="15"/>
  <c r="C67" i="7"/>
  <c r="D67" i="7"/>
  <c r="A67" i="7"/>
  <c r="F67" i="7"/>
  <c r="L67" i="7"/>
  <c r="G68" i="15"/>
  <c r="H68" i="15"/>
  <c r="I68" i="15"/>
  <c r="N67" i="7"/>
  <c r="K68" i="15"/>
  <c r="O67" i="7"/>
  <c r="L68" i="15"/>
  <c r="P67" i="7"/>
  <c r="M68" i="15"/>
  <c r="O68" i="15"/>
  <c r="P68" i="15"/>
  <c r="Q68" i="15"/>
  <c r="S68" i="15"/>
  <c r="T68" i="15"/>
  <c r="U68" i="15"/>
  <c r="C68" i="7"/>
  <c r="D68" i="7"/>
  <c r="A68" i="7"/>
  <c r="F68" i="7"/>
  <c r="L68" i="7"/>
  <c r="G69" i="15"/>
  <c r="H69" i="15"/>
  <c r="I69" i="15"/>
  <c r="N68" i="7"/>
  <c r="K69" i="15"/>
  <c r="O68" i="7"/>
  <c r="L69" i="15"/>
  <c r="P68" i="7"/>
  <c r="M69" i="15"/>
  <c r="O69" i="15"/>
  <c r="P69" i="15"/>
  <c r="Q69" i="15"/>
  <c r="S69" i="15"/>
  <c r="T69" i="15"/>
  <c r="U69" i="15"/>
  <c r="G70" i="15"/>
  <c r="H70" i="15"/>
  <c r="I70" i="15"/>
  <c r="K70" i="15"/>
  <c r="L70" i="15"/>
  <c r="M70" i="15"/>
  <c r="O70" i="15"/>
  <c r="P70" i="15"/>
  <c r="Q70" i="15"/>
  <c r="S70" i="15"/>
  <c r="T70" i="15"/>
  <c r="U70" i="15"/>
  <c r="D72" i="15"/>
  <c r="C72" i="7"/>
  <c r="D72" i="7"/>
  <c r="A72" i="7"/>
  <c r="F72" i="7"/>
  <c r="L72" i="7"/>
  <c r="G73" i="15"/>
  <c r="H73" i="15"/>
  <c r="I73" i="15"/>
  <c r="N72" i="7"/>
  <c r="K73" i="15"/>
  <c r="O72" i="7"/>
  <c r="L73" i="15"/>
  <c r="P72" i="7"/>
  <c r="M73" i="15"/>
  <c r="O73" i="15"/>
  <c r="P73" i="15"/>
  <c r="Q73" i="15"/>
  <c r="S73" i="15"/>
  <c r="T73" i="15"/>
  <c r="U73" i="15"/>
  <c r="C73" i="7"/>
  <c r="D73" i="7"/>
  <c r="A73" i="7"/>
  <c r="F73" i="7"/>
  <c r="L73" i="7"/>
  <c r="G74" i="15"/>
  <c r="H74" i="15"/>
  <c r="I74" i="15"/>
  <c r="N73" i="7"/>
  <c r="K74" i="15"/>
  <c r="O73" i="7"/>
  <c r="L74" i="15"/>
  <c r="P73" i="7"/>
  <c r="M74" i="15"/>
  <c r="O74" i="15"/>
  <c r="P74" i="15"/>
  <c r="Q74" i="15"/>
  <c r="S74" i="15"/>
  <c r="T74" i="15"/>
  <c r="U74" i="15"/>
  <c r="C74" i="7"/>
  <c r="D74" i="7"/>
  <c r="A74" i="7"/>
  <c r="F74" i="7"/>
  <c r="L74" i="7"/>
  <c r="G75" i="15"/>
  <c r="H75" i="15"/>
  <c r="I75" i="15"/>
  <c r="N74" i="7"/>
  <c r="K75" i="15"/>
  <c r="O74" i="7"/>
  <c r="L75" i="15"/>
  <c r="P74" i="7"/>
  <c r="M75" i="15"/>
  <c r="O75" i="15"/>
  <c r="P75" i="15"/>
  <c r="Q75" i="15"/>
  <c r="S75" i="15"/>
  <c r="T75" i="15"/>
  <c r="U75" i="15"/>
  <c r="C75" i="7"/>
  <c r="D75" i="7"/>
  <c r="A75" i="7"/>
  <c r="F75" i="7"/>
  <c r="L75" i="7"/>
  <c r="G76" i="15"/>
  <c r="H76" i="15"/>
  <c r="I76" i="15"/>
  <c r="N75" i="7"/>
  <c r="K76" i="15"/>
  <c r="O75" i="7"/>
  <c r="L76" i="15"/>
  <c r="P75" i="7"/>
  <c r="M76" i="15"/>
  <c r="O76" i="15"/>
  <c r="P76" i="15"/>
  <c r="Q76" i="15"/>
  <c r="S76" i="15"/>
  <c r="T76" i="15"/>
  <c r="U76" i="15"/>
  <c r="C76" i="7"/>
  <c r="D76" i="7"/>
  <c r="A76" i="7"/>
  <c r="F76" i="7"/>
  <c r="L76" i="7"/>
  <c r="G77" i="15"/>
  <c r="H77" i="15"/>
  <c r="I77" i="15"/>
  <c r="N76" i="7"/>
  <c r="K77" i="15"/>
  <c r="L77" i="15"/>
  <c r="M77" i="15"/>
  <c r="O77" i="15"/>
  <c r="P77" i="15"/>
  <c r="Q77" i="15"/>
  <c r="S77" i="15"/>
  <c r="T77" i="15"/>
  <c r="U77" i="15"/>
  <c r="C77" i="7"/>
  <c r="D77" i="7"/>
  <c r="A77" i="7"/>
  <c r="F77" i="7"/>
  <c r="L77" i="7"/>
  <c r="G78" i="15"/>
  <c r="H78" i="15"/>
  <c r="I78" i="15"/>
  <c r="N77" i="7"/>
  <c r="K78" i="15"/>
  <c r="O77" i="7"/>
  <c r="L78" i="15"/>
  <c r="P77" i="7"/>
  <c r="M78" i="15"/>
  <c r="O78" i="15"/>
  <c r="P78" i="15"/>
  <c r="Q78" i="15"/>
  <c r="S78" i="15"/>
  <c r="T78" i="15"/>
  <c r="U78" i="15"/>
  <c r="C78" i="7"/>
  <c r="D78" i="7"/>
  <c r="A78" i="7"/>
  <c r="F78" i="7"/>
  <c r="L78" i="7"/>
  <c r="G79" i="15"/>
  <c r="H79" i="15"/>
  <c r="I79" i="15"/>
  <c r="N78" i="7"/>
  <c r="K79" i="15"/>
  <c r="O78" i="7"/>
  <c r="L79" i="15"/>
  <c r="P78" i="7"/>
  <c r="M79" i="15"/>
  <c r="O79" i="15"/>
  <c r="P79" i="15"/>
  <c r="Q79" i="15"/>
  <c r="S79" i="15"/>
  <c r="T79" i="15"/>
  <c r="U79" i="15"/>
  <c r="C79" i="7"/>
  <c r="D79" i="7"/>
  <c r="A79" i="7"/>
  <c r="F79" i="7"/>
  <c r="L79" i="7"/>
  <c r="G80" i="15"/>
  <c r="H80" i="15"/>
  <c r="I80" i="15"/>
  <c r="N79" i="7"/>
  <c r="K80" i="15"/>
  <c r="O79" i="7"/>
  <c r="L80" i="15"/>
  <c r="P79" i="7"/>
  <c r="M80" i="15"/>
  <c r="O80" i="15"/>
  <c r="P80" i="15"/>
  <c r="Q80" i="15"/>
  <c r="S80" i="15"/>
  <c r="T80" i="15"/>
  <c r="U80" i="15"/>
  <c r="C80" i="7"/>
  <c r="D80" i="7"/>
  <c r="A80" i="7"/>
  <c r="F80" i="7"/>
  <c r="L80" i="7"/>
  <c r="G81" i="15"/>
  <c r="H81" i="15"/>
  <c r="I81" i="15"/>
  <c r="N80" i="7"/>
  <c r="K81" i="15"/>
  <c r="O80" i="7"/>
  <c r="L81" i="15"/>
  <c r="P80" i="7"/>
  <c r="M81" i="15"/>
  <c r="O81" i="15"/>
  <c r="P81" i="15"/>
  <c r="Q81" i="15"/>
  <c r="S81" i="15"/>
  <c r="T81" i="15"/>
  <c r="U81" i="15"/>
  <c r="C81" i="7"/>
  <c r="D81" i="7"/>
  <c r="A81" i="7"/>
  <c r="F81" i="7"/>
  <c r="L81" i="7"/>
  <c r="G82" i="15"/>
  <c r="H82" i="15"/>
  <c r="I82" i="15"/>
  <c r="N81" i="7"/>
  <c r="K82" i="15"/>
  <c r="O81" i="7"/>
  <c r="L82" i="15"/>
  <c r="P81" i="7"/>
  <c r="M82" i="15"/>
  <c r="O82" i="15"/>
  <c r="P82" i="15"/>
  <c r="Q82" i="15"/>
  <c r="S82" i="15"/>
  <c r="T82" i="15"/>
  <c r="U82" i="15"/>
  <c r="G83" i="15"/>
  <c r="H83" i="15"/>
  <c r="I83" i="15"/>
  <c r="K83" i="15"/>
  <c r="L83" i="15"/>
  <c r="M83" i="15"/>
  <c r="O83" i="15"/>
  <c r="P83" i="15"/>
  <c r="Q83" i="15"/>
  <c r="S83" i="15"/>
  <c r="T83" i="15"/>
  <c r="U83" i="15"/>
  <c r="D85" i="15"/>
  <c r="C85" i="7"/>
  <c r="D85" i="7"/>
  <c r="A85" i="7"/>
  <c r="F85" i="7"/>
  <c r="L85" i="7"/>
  <c r="G86" i="15"/>
  <c r="H86" i="15"/>
  <c r="I86" i="15"/>
  <c r="N85" i="7"/>
  <c r="K86" i="15"/>
  <c r="O85" i="7"/>
  <c r="L86" i="15"/>
  <c r="P85" i="7"/>
  <c r="M86" i="15"/>
  <c r="O86" i="15"/>
  <c r="P86" i="15"/>
  <c r="Q86" i="15"/>
  <c r="S86" i="15"/>
  <c r="T86" i="15"/>
  <c r="U86" i="15"/>
  <c r="C86" i="7"/>
  <c r="D86" i="7"/>
  <c r="A86" i="7"/>
  <c r="F86" i="7"/>
  <c r="L86" i="7"/>
  <c r="G87" i="15"/>
  <c r="H87" i="15"/>
  <c r="I87" i="15"/>
  <c r="N86" i="7"/>
  <c r="K87" i="15"/>
  <c r="O86" i="7"/>
  <c r="L87" i="15"/>
  <c r="P86" i="7"/>
  <c r="M87" i="15"/>
  <c r="O87" i="15"/>
  <c r="P87" i="15"/>
  <c r="Q87" i="15"/>
  <c r="S87" i="15"/>
  <c r="T87" i="15"/>
  <c r="U87" i="15"/>
  <c r="C87" i="7"/>
  <c r="D87" i="7"/>
  <c r="A87" i="7"/>
  <c r="F87" i="7"/>
  <c r="L87" i="7"/>
  <c r="G88" i="15"/>
  <c r="H88" i="15"/>
  <c r="I88" i="15"/>
  <c r="N87" i="7"/>
  <c r="K88" i="15"/>
  <c r="O87" i="7"/>
  <c r="L88" i="15"/>
  <c r="P87" i="7"/>
  <c r="M88" i="15"/>
  <c r="O88" i="15"/>
  <c r="P88" i="15"/>
  <c r="Q88" i="15"/>
  <c r="S88" i="15"/>
  <c r="T88" i="15"/>
  <c r="U88" i="15"/>
  <c r="C88" i="7"/>
  <c r="D88" i="7"/>
  <c r="A88" i="7"/>
  <c r="F88" i="7"/>
  <c r="L88" i="7"/>
  <c r="G89" i="15"/>
  <c r="H89" i="15"/>
  <c r="I89" i="15"/>
  <c r="N88" i="7"/>
  <c r="K89" i="15"/>
  <c r="O88" i="7"/>
  <c r="L89" i="15"/>
  <c r="P88" i="7"/>
  <c r="M89" i="15"/>
  <c r="O89" i="15"/>
  <c r="P89" i="15"/>
  <c r="Q89" i="15"/>
  <c r="S89" i="15"/>
  <c r="T89" i="15"/>
  <c r="U89" i="15"/>
  <c r="C89" i="7"/>
  <c r="D89" i="7"/>
  <c r="A89" i="7"/>
  <c r="F89" i="7"/>
  <c r="L89" i="7"/>
  <c r="G90" i="15"/>
  <c r="H90" i="15"/>
  <c r="I90" i="15"/>
  <c r="N89" i="7"/>
  <c r="K90" i="15"/>
  <c r="O89" i="7"/>
  <c r="L90" i="15"/>
  <c r="P89" i="7"/>
  <c r="M90" i="15"/>
  <c r="O90" i="15"/>
  <c r="P90" i="15"/>
  <c r="Q90" i="15"/>
  <c r="S90" i="15"/>
  <c r="T90" i="15"/>
  <c r="U90" i="15"/>
  <c r="C90" i="7"/>
  <c r="D90" i="7"/>
  <c r="A90" i="7"/>
  <c r="F90" i="7"/>
  <c r="L90" i="7"/>
  <c r="G91" i="15"/>
  <c r="H91" i="15"/>
  <c r="I91" i="15"/>
  <c r="N90" i="7"/>
  <c r="K91" i="15"/>
  <c r="O90" i="7"/>
  <c r="L91" i="15"/>
  <c r="P90" i="7"/>
  <c r="M91" i="15"/>
  <c r="O91" i="15"/>
  <c r="P91" i="15"/>
  <c r="Q91" i="15"/>
  <c r="S91" i="15"/>
  <c r="T91" i="15"/>
  <c r="U91" i="15"/>
  <c r="C91" i="7"/>
  <c r="D91" i="7"/>
  <c r="A91" i="7"/>
  <c r="F91" i="7"/>
  <c r="L91" i="7"/>
  <c r="G92" i="15"/>
  <c r="H92" i="15"/>
  <c r="I92" i="15"/>
  <c r="N91" i="7"/>
  <c r="K92" i="15"/>
  <c r="O91" i="7"/>
  <c r="L92" i="15"/>
  <c r="P91" i="7"/>
  <c r="M92" i="15"/>
  <c r="O92" i="15"/>
  <c r="P92" i="15"/>
  <c r="Q92" i="15"/>
  <c r="S92" i="15"/>
  <c r="T92" i="15"/>
  <c r="U92" i="15"/>
  <c r="C92" i="7"/>
  <c r="D92" i="7"/>
  <c r="A92" i="7"/>
  <c r="F92" i="7"/>
  <c r="L92" i="7"/>
  <c r="G93" i="15"/>
  <c r="H93" i="15"/>
  <c r="I93" i="15"/>
  <c r="N92" i="7"/>
  <c r="K93" i="15"/>
  <c r="L93" i="15"/>
  <c r="M93" i="15"/>
  <c r="O93" i="15"/>
  <c r="P93" i="15"/>
  <c r="Q93" i="15"/>
  <c r="S93" i="15"/>
  <c r="T93" i="15"/>
  <c r="U93" i="15"/>
  <c r="C93" i="7"/>
  <c r="D93" i="7"/>
  <c r="A93" i="7"/>
  <c r="F93" i="7"/>
  <c r="L93" i="7"/>
  <c r="G94" i="15"/>
  <c r="H94" i="15"/>
  <c r="I94" i="15"/>
  <c r="N93" i="7"/>
  <c r="K94" i="15"/>
  <c r="O93" i="7"/>
  <c r="L94" i="15"/>
  <c r="P93" i="7"/>
  <c r="M94" i="15"/>
  <c r="O94" i="15"/>
  <c r="P94" i="15"/>
  <c r="Q94" i="15"/>
  <c r="S94" i="15"/>
  <c r="T94" i="15"/>
  <c r="U94" i="15"/>
  <c r="C94" i="7"/>
  <c r="D94" i="7"/>
  <c r="A94" i="7"/>
  <c r="F94" i="7"/>
  <c r="L94" i="7"/>
  <c r="G95" i="15"/>
  <c r="H95" i="15"/>
  <c r="I95" i="15"/>
  <c r="N94" i="7"/>
  <c r="K95" i="15"/>
  <c r="O94" i="7"/>
  <c r="L95" i="15"/>
  <c r="P94" i="7"/>
  <c r="M95" i="15"/>
  <c r="O95" i="15"/>
  <c r="P95" i="15"/>
  <c r="Q95" i="15"/>
  <c r="S95" i="15"/>
  <c r="T95" i="15"/>
  <c r="U95" i="15"/>
  <c r="G96" i="15"/>
  <c r="H96" i="15"/>
  <c r="I96" i="15"/>
  <c r="K96" i="15"/>
  <c r="L96" i="15"/>
  <c r="M96" i="15"/>
  <c r="O96" i="15"/>
  <c r="P96" i="15"/>
  <c r="Q96" i="15"/>
  <c r="S96" i="15"/>
  <c r="T96" i="15"/>
  <c r="U96" i="15"/>
  <c r="D98" i="15"/>
  <c r="C98" i="7"/>
  <c r="D98" i="7"/>
  <c r="A98" i="7"/>
  <c r="F98" i="7"/>
  <c r="L98" i="7"/>
  <c r="G99" i="15"/>
  <c r="H99" i="15"/>
  <c r="I99" i="15"/>
  <c r="N98" i="7"/>
  <c r="K99" i="15"/>
  <c r="O98" i="7"/>
  <c r="L99" i="15"/>
  <c r="P98" i="7"/>
  <c r="M99" i="15"/>
  <c r="O99" i="15"/>
  <c r="P99" i="15"/>
  <c r="Q99" i="15"/>
  <c r="S99" i="15"/>
  <c r="T99" i="15"/>
  <c r="U99" i="15"/>
  <c r="C99" i="7"/>
  <c r="D99" i="7"/>
  <c r="A99" i="7"/>
  <c r="F99" i="7"/>
  <c r="L99" i="7"/>
  <c r="G100" i="15"/>
  <c r="H100" i="15"/>
  <c r="I100" i="15"/>
  <c r="N99" i="7"/>
  <c r="K100" i="15"/>
  <c r="O99" i="7"/>
  <c r="L100" i="15"/>
  <c r="P99" i="7"/>
  <c r="M100" i="15"/>
  <c r="O100" i="15"/>
  <c r="P100" i="15"/>
  <c r="Q100" i="15"/>
  <c r="S100" i="15"/>
  <c r="T100" i="15"/>
  <c r="U100" i="15"/>
  <c r="C100" i="7"/>
  <c r="D100" i="7"/>
  <c r="A100" i="7"/>
  <c r="F100" i="7"/>
  <c r="L100" i="7"/>
  <c r="G101" i="15"/>
  <c r="H101" i="15"/>
  <c r="I101" i="15"/>
  <c r="N100" i="7"/>
  <c r="K101" i="15"/>
  <c r="O100" i="7"/>
  <c r="L101" i="15"/>
  <c r="P100" i="7"/>
  <c r="M101" i="15"/>
  <c r="O101" i="15"/>
  <c r="P101" i="15"/>
  <c r="Q101" i="15"/>
  <c r="S101" i="15"/>
  <c r="T101" i="15"/>
  <c r="U101" i="15"/>
  <c r="C101" i="7"/>
  <c r="D101" i="7"/>
  <c r="A101" i="7"/>
  <c r="F101" i="7"/>
  <c r="L101" i="7"/>
  <c r="G102" i="15"/>
  <c r="H102" i="15"/>
  <c r="I102" i="15"/>
  <c r="N101" i="7"/>
  <c r="K102" i="15"/>
  <c r="O101" i="7"/>
  <c r="L102" i="15"/>
  <c r="P101" i="7"/>
  <c r="M102" i="15"/>
  <c r="O102" i="15"/>
  <c r="P102" i="15"/>
  <c r="Q102" i="15"/>
  <c r="S102" i="15"/>
  <c r="T102" i="15"/>
  <c r="U102" i="15"/>
  <c r="C102" i="7"/>
  <c r="D102" i="7"/>
  <c r="A102" i="7"/>
  <c r="F102" i="7"/>
  <c r="L102" i="7"/>
  <c r="G103" i="15"/>
  <c r="H103" i="15"/>
  <c r="I103" i="15"/>
  <c r="N102" i="7"/>
  <c r="K103" i="15"/>
  <c r="O102" i="7"/>
  <c r="L103" i="15"/>
  <c r="P102" i="7"/>
  <c r="M103" i="15"/>
  <c r="O103" i="15"/>
  <c r="P103" i="15"/>
  <c r="Q103" i="15"/>
  <c r="S103" i="15"/>
  <c r="T103" i="15"/>
  <c r="U103" i="15"/>
  <c r="C103" i="7"/>
  <c r="D103" i="7"/>
  <c r="A103" i="7"/>
  <c r="F103" i="7"/>
  <c r="L103" i="7"/>
  <c r="G104" i="15"/>
  <c r="H104" i="15"/>
  <c r="I104" i="15"/>
  <c r="N103" i="7"/>
  <c r="K104" i="15"/>
  <c r="O103" i="7"/>
  <c r="L104" i="15"/>
  <c r="P103" i="7"/>
  <c r="M104" i="15"/>
  <c r="O104" i="15"/>
  <c r="P104" i="15"/>
  <c r="Q104" i="15"/>
  <c r="S104" i="15"/>
  <c r="T104" i="15"/>
  <c r="U104" i="15"/>
  <c r="C104" i="7"/>
  <c r="D104" i="7"/>
  <c r="A104" i="7"/>
  <c r="F104" i="7"/>
  <c r="L104" i="7"/>
  <c r="G105" i="15"/>
  <c r="H105" i="15"/>
  <c r="I105" i="15"/>
  <c r="N104" i="7"/>
  <c r="K105" i="15"/>
  <c r="O104" i="7"/>
  <c r="L105" i="15"/>
  <c r="P104" i="7"/>
  <c r="M105" i="15"/>
  <c r="O105" i="15"/>
  <c r="P105" i="15"/>
  <c r="Q105" i="15"/>
  <c r="S105" i="15"/>
  <c r="T105" i="15"/>
  <c r="U105" i="15"/>
  <c r="C105" i="7"/>
  <c r="D105" i="7"/>
  <c r="A105" i="7"/>
  <c r="F105" i="7"/>
  <c r="L105" i="7"/>
  <c r="G106" i="15"/>
  <c r="H106" i="15"/>
  <c r="I106" i="15"/>
  <c r="N105" i="7"/>
  <c r="K106" i="15"/>
  <c r="O105" i="7"/>
  <c r="L106" i="15"/>
  <c r="P105" i="7"/>
  <c r="M106" i="15"/>
  <c r="O106" i="15"/>
  <c r="P106" i="15"/>
  <c r="Q106" i="15"/>
  <c r="S106" i="15"/>
  <c r="T106" i="15"/>
  <c r="U106" i="15"/>
  <c r="C106" i="7"/>
  <c r="D106" i="7"/>
  <c r="A106" i="7"/>
  <c r="F106" i="7"/>
  <c r="L106" i="7"/>
  <c r="G107" i="15"/>
  <c r="H107" i="15"/>
  <c r="I107" i="15"/>
  <c r="N106" i="7"/>
  <c r="K107" i="15"/>
  <c r="O106" i="7"/>
  <c r="L107" i="15"/>
  <c r="P106" i="7"/>
  <c r="M107" i="15"/>
  <c r="O107" i="15"/>
  <c r="P107" i="15"/>
  <c r="Q107" i="15"/>
  <c r="S107" i="15"/>
  <c r="T107" i="15"/>
  <c r="U107" i="15"/>
  <c r="C107" i="7"/>
  <c r="D107" i="7"/>
  <c r="A107" i="7"/>
  <c r="F107" i="7"/>
  <c r="L107" i="7"/>
  <c r="G108" i="15"/>
  <c r="H108" i="15"/>
  <c r="I108" i="15"/>
  <c r="N107" i="7"/>
  <c r="K108" i="15"/>
  <c r="O107" i="7"/>
  <c r="L108" i="15"/>
  <c r="P107" i="7"/>
  <c r="M108" i="15"/>
  <c r="O108" i="15"/>
  <c r="P108" i="15"/>
  <c r="Q108" i="15"/>
  <c r="S108" i="15"/>
  <c r="T108" i="15"/>
  <c r="U108" i="15"/>
  <c r="G109" i="15"/>
  <c r="H109" i="15"/>
  <c r="I109" i="15"/>
  <c r="K109" i="15"/>
  <c r="L109" i="15"/>
  <c r="M109" i="15"/>
  <c r="O109" i="15"/>
  <c r="P109" i="15"/>
  <c r="Q109" i="15"/>
  <c r="S109" i="15"/>
  <c r="T109" i="15"/>
  <c r="U109" i="15"/>
  <c r="D111" i="15"/>
  <c r="C111" i="7"/>
  <c r="D111" i="7"/>
  <c r="A111" i="7"/>
  <c r="F111" i="7"/>
  <c r="L111" i="7"/>
  <c r="G112" i="15"/>
  <c r="H112" i="15"/>
  <c r="I112" i="15"/>
  <c r="N111" i="7"/>
  <c r="K112" i="15"/>
  <c r="O111" i="7"/>
  <c r="L112" i="15"/>
  <c r="P111" i="7"/>
  <c r="M112" i="15"/>
  <c r="O112" i="15"/>
  <c r="P112" i="15"/>
  <c r="Q112" i="15"/>
  <c r="S112" i="15"/>
  <c r="T112" i="15"/>
  <c r="U112" i="15"/>
  <c r="C112" i="7"/>
  <c r="D112" i="7"/>
  <c r="A112" i="7"/>
  <c r="F112" i="7"/>
  <c r="L112" i="7"/>
  <c r="G113" i="15"/>
  <c r="H113" i="15"/>
  <c r="I113" i="15"/>
  <c r="N112" i="7"/>
  <c r="K113" i="15"/>
  <c r="O112" i="7"/>
  <c r="L113" i="15"/>
  <c r="P112" i="7"/>
  <c r="M113" i="15"/>
  <c r="O113" i="15"/>
  <c r="P113" i="15"/>
  <c r="Q113" i="15"/>
  <c r="S113" i="15"/>
  <c r="T113" i="15"/>
  <c r="U113" i="15"/>
  <c r="C113" i="7"/>
  <c r="D113" i="7"/>
  <c r="A113" i="7"/>
  <c r="F113" i="7"/>
  <c r="L113" i="7"/>
  <c r="G114" i="15"/>
  <c r="H114" i="15"/>
  <c r="I114" i="15"/>
  <c r="N113" i="7"/>
  <c r="K114" i="15"/>
  <c r="O113" i="7"/>
  <c r="L114" i="15"/>
  <c r="P113" i="7"/>
  <c r="M114" i="15"/>
  <c r="O114" i="15"/>
  <c r="P114" i="15"/>
  <c r="Q114" i="15"/>
  <c r="S114" i="15"/>
  <c r="T114" i="15"/>
  <c r="U114" i="15"/>
  <c r="C114" i="7"/>
  <c r="D114" i="7"/>
  <c r="A114" i="7"/>
  <c r="F114" i="7"/>
  <c r="L114" i="7"/>
  <c r="G115" i="15"/>
  <c r="H115" i="15"/>
  <c r="I115" i="15"/>
  <c r="N114" i="7"/>
  <c r="K115" i="15"/>
  <c r="O114" i="7"/>
  <c r="L115" i="15"/>
  <c r="P114" i="7"/>
  <c r="M115" i="15"/>
  <c r="O115" i="15"/>
  <c r="P115" i="15"/>
  <c r="Q115" i="15"/>
  <c r="S115" i="15"/>
  <c r="T115" i="15"/>
  <c r="U115" i="15"/>
  <c r="C115" i="7"/>
  <c r="D115" i="7"/>
  <c r="A115" i="7"/>
  <c r="F115" i="7"/>
  <c r="L115" i="7"/>
  <c r="G116" i="15"/>
  <c r="H116" i="15"/>
  <c r="I116" i="15"/>
  <c r="N115" i="7"/>
  <c r="K116" i="15"/>
  <c r="O115" i="7"/>
  <c r="L116" i="15"/>
  <c r="P115" i="7"/>
  <c r="M116" i="15"/>
  <c r="O116" i="15"/>
  <c r="P116" i="15"/>
  <c r="Q116" i="15"/>
  <c r="S116" i="15"/>
  <c r="T116" i="15"/>
  <c r="U116" i="15"/>
  <c r="C116" i="7"/>
  <c r="D116" i="7"/>
  <c r="A116" i="7"/>
  <c r="F116" i="7"/>
  <c r="L116" i="7"/>
  <c r="G117" i="15"/>
  <c r="H117" i="15"/>
  <c r="I117" i="15"/>
  <c r="N116" i="7"/>
  <c r="K117" i="15"/>
  <c r="O116" i="7"/>
  <c r="L117" i="15"/>
  <c r="P116" i="7"/>
  <c r="M117" i="15"/>
  <c r="O117" i="15"/>
  <c r="P117" i="15"/>
  <c r="Q117" i="15"/>
  <c r="S117" i="15"/>
  <c r="T117" i="15"/>
  <c r="U117" i="15"/>
  <c r="C117" i="7"/>
  <c r="D117" i="7"/>
  <c r="A117" i="7"/>
  <c r="F117" i="7"/>
  <c r="L117" i="7"/>
  <c r="G118" i="15"/>
  <c r="H118" i="15"/>
  <c r="I118" i="15"/>
  <c r="N117" i="7"/>
  <c r="K118" i="15"/>
  <c r="O117" i="7"/>
  <c r="L118" i="15"/>
  <c r="P117" i="7"/>
  <c r="M118" i="15"/>
  <c r="O118" i="15"/>
  <c r="P118" i="15"/>
  <c r="Q118" i="15"/>
  <c r="S118" i="15"/>
  <c r="T118" i="15"/>
  <c r="U118" i="15"/>
  <c r="C118" i="7"/>
  <c r="D118" i="7"/>
  <c r="A118" i="7"/>
  <c r="F118" i="7"/>
  <c r="L118" i="7"/>
  <c r="G119" i="15"/>
  <c r="H119" i="15"/>
  <c r="I119" i="15"/>
  <c r="N118" i="7"/>
  <c r="K119" i="15"/>
  <c r="O118" i="7"/>
  <c r="L119" i="15"/>
  <c r="P118" i="7"/>
  <c r="M119" i="15"/>
  <c r="O119" i="15"/>
  <c r="P119" i="15"/>
  <c r="Q119" i="15"/>
  <c r="S119" i="15"/>
  <c r="T119" i="15"/>
  <c r="U119" i="15"/>
  <c r="C119" i="7"/>
  <c r="D119" i="7"/>
  <c r="A119" i="7"/>
  <c r="F119" i="7"/>
  <c r="L119" i="7"/>
  <c r="G120" i="15"/>
  <c r="H120" i="15"/>
  <c r="I120" i="15"/>
  <c r="N119" i="7"/>
  <c r="K120" i="15"/>
  <c r="O119" i="7"/>
  <c r="L120" i="15"/>
  <c r="P119" i="7"/>
  <c r="M120" i="15"/>
  <c r="O120" i="15"/>
  <c r="P120" i="15"/>
  <c r="Q120" i="15"/>
  <c r="S120" i="15"/>
  <c r="T120" i="15"/>
  <c r="U120" i="15"/>
  <c r="C120" i="7"/>
  <c r="D120" i="7"/>
  <c r="A120" i="7"/>
  <c r="F120" i="7"/>
  <c r="L120" i="7"/>
  <c r="G121" i="15"/>
  <c r="H121" i="15"/>
  <c r="I121" i="15"/>
  <c r="N120" i="7"/>
  <c r="K121" i="15"/>
  <c r="O120" i="7"/>
  <c r="L121" i="15"/>
  <c r="P120" i="7"/>
  <c r="M121" i="15"/>
  <c r="O121" i="15"/>
  <c r="P121" i="15"/>
  <c r="Q121" i="15"/>
  <c r="S121" i="15"/>
  <c r="T121" i="15"/>
  <c r="U121" i="15"/>
  <c r="G122" i="15"/>
  <c r="H122" i="15"/>
  <c r="I122" i="15"/>
  <c r="K122" i="15"/>
  <c r="L122" i="15"/>
  <c r="M122" i="15"/>
  <c r="O122" i="15"/>
  <c r="P122" i="15"/>
  <c r="Q122" i="15"/>
  <c r="S122" i="15"/>
  <c r="T122" i="15"/>
  <c r="U122" i="15"/>
  <c r="D124" i="15"/>
  <c r="C124" i="7"/>
  <c r="D124" i="7"/>
  <c r="A124" i="7"/>
  <c r="F124" i="7"/>
  <c r="L124" i="7"/>
  <c r="G125" i="15"/>
  <c r="H125" i="15"/>
  <c r="I125" i="15"/>
  <c r="N124" i="7"/>
  <c r="K125" i="15"/>
  <c r="O124" i="7"/>
  <c r="L125" i="15"/>
  <c r="P124" i="7"/>
  <c r="M125" i="15"/>
  <c r="O125" i="15"/>
  <c r="P125" i="15"/>
  <c r="Q125" i="15"/>
  <c r="S125" i="15"/>
  <c r="T125" i="15"/>
  <c r="U125" i="15"/>
  <c r="C125" i="7"/>
  <c r="D125" i="7"/>
  <c r="A125" i="7"/>
  <c r="F125" i="7"/>
  <c r="L125" i="7"/>
  <c r="G126" i="15"/>
  <c r="H126" i="15"/>
  <c r="I126" i="15"/>
  <c r="N125" i="7"/>
  <c r="K126" i="15"/>
  <c r="O125" i="7"/>
  <c r="L126" i="15"/>
  <c r="P125" i="7"/>
  <c r="M126" i="15"/>
  <c r="O126" i="15"/>
  <c r="P126" i="15"/>
  <c r="Q126" i="15"/>
  <c r="S126" i="15"/>
  <c r="T126" i="15"/>
  <c r="U126" i="15"/>
  <c r="C126" i="7"/>
  <c r="D126" i="7"/>
  <c r="A126" i="7"/>
  <c r="F126" i="7"/>
  <c r="L126" i="7"/>
  <c r="G127" i="15"/>
  <c r="H127" i="15"/>
  <c r="I127" i="15"/>
  <c r="N126" i="7"/>
  <c r="K127" i="15"/>
  <c r="O126" i="7"/>
  <c r="L127" i="15"/>
  <c r="P126" i="7"/>
  <c r="M127" i="15"/>
  <c r="O127" i="15"/>
  <c r="P127" i="15"/>
  <c r="Q127" i="15"/>
  <c r="S127" i="15"/>
  <c r="T127" i="15"/>
  <c r="U127" i="15"/>
  <c r="C127" i="7"/>
  <c r="D127" i="7"/>
  <c r="A127" i="7"/>
  <c r="F127" i="7"/>
  <c r="L127" i="7"/>
  <c r="G128" i="15"/>
  <c r="H128" i="15"/>
  <c r="I128" i="15"/>
  <c r="N127" i="7"/>
  <c r="K128" i="15"/>
  <c r="O127" i="7"/>
  <c r="L128" i="15"/>
  <c r="P127" i="7"/>
  <c r="M128" i="15"/>
  <c r="O128" i="15"/>
  <c r="P128" i="15"/>
  <c r="Q128" i="15"/>
  <c r="S128" i="15"/>
  <c r="T128" i="15"/>
  <c r="U128" i="15"/>
  <c r="C128" i="7"/>
  <c r="D128" i="7"/>
  <c r="A128" i="7"/>
  <c r="F128" i="7"/>
  <c r="L128" i="7"/>
  <c r="G129" i="15"/>
  <c r="H129" i="15"/>
  <c r="I129" i="15"/>
  <c r="N128" i="7"/>
  <c r="K129" i="15"/>
  <c r="O128" i="7"/>
  <c r="L129" i="15"/>
  <c r="P128" i="7"/>
  <c r="M129" i="15"/>
  <c r="O129" i="15"/>
  <c r="P129" i="15"/>
  <c r="Q129" i="15"/>
  <c r="S129" i="15"/>
  <c r="T129" i="15"/>
  <c r="U129" i="15"/>
  <c r="C129" i="7"/>
  <c r="D129" i="7"/>
  <c r="A129" i="7"/>
  <c r="F129" i="7"/>
  <c r="L129" i="7"/>
  <c r="G130" i="15"/>
  <c r="H130" i="15"/>
  <c r="I130" i="15"/>
  <c r="N129" i="7"/>
  <c r="K130" i="15"/>
  <c r="O129" i="7"/>
  <c r="L130" i="15"/>
  <c r="P129" i="7"/>
  <c r="M130" i="15"/>
  <c r="O130" i="15"/>
  <c r="P130" i="15"/>
  <c r="Q130" i="15"/>
  <c r="S130" i="15"/>
  <c r="T130" i="15"/>
  <c r="U130" i="15"/>
  <c r="C130" i="7"/>
  <c r="D130" i="7"/>
  <c r="A130" i="7"/>
  <c r="F130" i="7"/>
  <c r="L130" i="7"/>
  <c r="G131" i="15"/>
  <c r="H131" i="15"/>
  <c r="I131" i="15"/>
  <c r="N130" i="7"/>
  <c r="K131" i="15"/>
  <c r="O130" i="7"/>
  <c r="L131" i="15"/>
  <c r="P130" i="7"/>
  <c r="M131" i="15"/>
  <c r="O131" i="15"/>
  <c r="P131" i="15"/>
  <c r="Q131" i="15"/>
  <c r="S131" i="15"/>
  <c r="T131" i="15"/>
  <c r="U131" i="15"/>
  <c r="C131" i="7"/>
  <c r="D131" i="7"/>
  <c r="A131" i="7"/>
  <c r="F131" i="7"/>
  <c r="L131" i="7"/>
  <c r="G132" i="15"/>
  <c r="H132" i="15"/>
  <c r="I132" i="15"/>
  <c r="N131" i="7"/>
  <c r="K132" i="15"/>
  <c r="O131" i="7"/>
  <c r="L132" i="15"/>
  <c r="P131" i="7"/>
  <c r="M132" i="15"/>
  <c r="O132" i="15"/>
  <c r="P132" i="15"/>
  <c r="Q132" i="15"/>
  <c r="S132" i="15"/>
  <c r="T132" i="15"/>
  <c r="U132" i="15"/>
  <c r="C132" i="7"/>
  <c r="D132" i="7"/>
  <c r="A132" i="7"/>
  <c r="F132" i="7"/>
  <c r="L132" i="7"/>
  <c r="G133" i="15"/>
  <c r="H133" i="15"/>
  <c r="I133" i="15"/>
  <c r="N132" i="7"/>
  <c r="K133" i="15"/>
  <c r="O132" i="7"/>
  <c r="L133" i="15"/>
  <c r="P132" i="7"/>
  <c r="M133" i="15"/>
  <c r="O133" i="15"/>
  <c r="P133" i="15"/>
  <c r="Q133" i="15"/>
  <c r="S133" i="15"/>
  <c r="T133" i="15"/>
  <c r="U133" i="15"/>
  <c r="C133" i="7"/>
  <c r="D133" i="7"/>
  <c r="A133" i="7"/>
  <c r="F133" i="7"/>
  <c r="L133" i="7"/>
  <c r="G134" i="15"/>
  <c r="H134" i="15"/>
  <c r="I134" i="15"/>
  <c r="N133" i="7"/>
  <c r="K134" i="15"/>
  <c r="O133" i="7"/>
  <c r="L134" i="15"/>
  <c r="P133" i="7"/>
  <c r="M134" i="15"/>
  <c r="O134" i="15"/>
  <c r="P134" i="15"/>
  <c r="Q134" i="15"/>
  <c r="S134" i="15"/>
  <c r="T134" i="15"/>
  <c r="U134" i="15"/>
  <c r="G135" i="15"/>
  <c r="H135" i="15"/>
  <c r="I135" i="15"/>
  <c r="K135" i="15"/>
  <c r="L135" i="15"/>
  <c r="M135" i="15"/>
  <c r="O135" i="15"/>
  <c r="P135" i="15"/>
  <c r="Q135" i="15"/>
  <c r="S135" i="15"/>
  <c r="T135" i="15"/>
  <c r="U135" i="15"/>
  <c r="L7" i="18"/>
  <c r="L8" i="18"/>
  <c r="L9" i="18"/>
  <c r="L10" i="18"/>
  <c r="L11" i="18"/>
  <c r="L12" i="18"/>
  <c r="L13" i="18"/>
  <c r="L14" i="18"/>
  <c r="L15" i="18"/>
  <c r="L16" i="18"/>
  <c r="L17" i="18"/>
  <c r="T17" i="18"/>
  <c r="K7" i="18"/>
  <c r="K8" i="18"/>
  <c r="K9" i="18"/>
  <c r="K10" i="18"/>
  <c r="K11" i="18"/>
  <c r="K12" i="18"/>
  <c r="K13" i="18"/>
  <c r="K14" i="18"/>
  <c r="K15" i="18"/>
  <c r="K16" i="18"/>
  <c r="K17" i="18"/>
  <c r="S17" i="18"/>
  <c r="J7" i="18"/>
  <c r="J8" i="18"/>
  <c r="J9" i="18"/>
  <c r="J10" i="18"/>
  <c r="J11" i="18"/>
  <c r="J12" i="18"/>
  <c r="J13" i="18"/>
  <c r="J14" i="18"/>
  <c r="J15" i="18"/>
  <c r="J16" i="18"/>
  <c r="J17" i="18"/>
  <c r="R17" i="18"/>
  <c r="P17" i="18"/>
  <c r="O17" i="18"/>
  <c r="N17" i="18"/>
  <c r="K38" i="17"/>
  <c r="J38" i="17"/>
  <c r="J31" i="17"/>
  <c r="J32" i="17"/>
  <c r="J33" i="17"/>
  <c r="J34" i="17"/>
  <c r="J35" i="17"/>
  <c r="J36" i="17"/>
  <c r="J37" i="17"/>
  <c r="J39" i="17"/>
  <c r="K31" i="17"/>
  <c r="K32" i="17"/>
  <c r="K33" i="17"/>
  <c r="K34" i="17"/>
  <c r="K35" i="17"/>
  <c r="K36" i="17"/>
  <c r="K37" i="17"/>
  <c r="K39" i="17"/>
  <c r="M38" i="17"/>
  <c r="M31" i="17"/>
  <c r="M32" i="17"/>
  <c r="M33" i="17"/>
  <c r="M34" i="17"/>
  <c r="M35" i="17"/>
  <c r="M36" i="17"/>
  <c r="M37" i="17"/>
  <c r="M39" i="17"/>
  <c r="C38" i="17"/>
  <c r="D6" i="9"/>
  <c r="D136" i="7"/>
  <c r="C137" i="7"/>
  <c r="D137" i="7"/>
  <c r="C138" i="7"/>
  <c r="D138" i="7"/>
  <c r="C139" i="7"/>
  <c r="D139" i="7"/>
  <c r="C140" i="7"/>
  <c r="D140" i="7"/>
  <c r="C141" i="7"/>
  <c r="D141" i="7"/>
  <c r="C142" i="7"/>
  <c r="D142" i="7"/>
  <c r="C143" i="7"/>
  <c r="D143" i="7"/>
  <c r="C144" i="7"/>
  <c r="D144" i="7"/>
  <c r="C145" i="7"/>
  <c r="D145" i="7"/>
  <c r="D146" i="7"/>
  <c r="H4" i="7"/>
  <c r="H135" i="7"/>
  <c r="I4" i="7"/>
  <c r="I135" i="7"/>
  <c r="J4" i="7"/>
  <c r="J135" i="7"/>
  <c r="F136" i="7"/>
  <c r="H136" i="7"/>
  <c r="I136" i="7"/>
  <c r="J136" i="7"/>
  <c r="F137" i="7"/>
  <c r="H137" i="7"/>
  <c r="I137" i="7"/>
  <c r="J137" i="7"/>
  <c r="F138" i="7"/>
  <c r="H138" i="7"/>
  <c r="I138" i="7"/>
  <c r="J138" i="7"/>
  <c r="F139" i="7"/>
  <c r="H139" i="7"/>
  <c r="I139" i="7"/>
  <c r="J139" i="7"/>
  <c r="F140" i="7"/>
  <c r="H140" i="7"/>
  <c r="I140" i="7"/>
  <c r="J140" i="7"/>
  <c r="F141" i="7"/>
  <c r="H141" i="7"/>
  <c r="I141" i="7"/>
  <c r="J141" i="7"/>
  <c r="F142" i="7"/>
  <c r="H142" i="7"/>
  <c r="I142" i="7"/>
  <c r="J142" i="7"/>
  <c r="F143" i="7"/>
  <c r="H143" i="7"/>
  <c r="I143" i="7"/>
  <c r="J143" i="7"/>
  <c r="F144" i="7"/>
  <c r="H144" i="7"/>
  <c r="I144" i="7"/>
  <c r="J144" i="7"/>
  <c r="F145" i="7"/>
  <c r="H145" i="7"/>
  <c r="I145" i="7"/>
  <c r="J145" i="7"/>
  <c r="F146" i="7"/>
  <c r="H146" i="7"/>
  <c r="I146" i="7"/>
  <c r="J146" i="7"/>
  <c r="D136" i="11"/>
  <c r="C137" i="11"/>
  <c r="D137" i="11"/>
  <c r="C138" i="11"/>
  <c r="D138" i="11"/>
  <c r="C139" i="11"/>
  <c r="D139" i="11"/>
  <c r="C140" i="11"/>
  <c r="D140" i="11"/>
  <c r="C141" i="11"/>
  <c r="D141" i="11"/>
  <c r="C142" i="11"/>
  <c r="D142" i="11"/>
  <c r="C143" i="11"/>
  <c r="D143" i="11"/>
  <c r="C144" i="11"/>
  <c r="D144" i="11"/>
  <c r="C145" i="11"/>
  <c r="D145" i="11"/>
  <c r="D146" i="11"/>
  <c r="H4" i="11"/>
  <c r="H135" i="11"/>
  <c r="I4" i="11"/>
  <c r="I135" i="11"/>
  <c r="J4" i="11"/>
  <c r="J135" i="11"/>
  <c r="F136" i="11"/>
  <c r="H136" i="11"/>
  <c r="I136" i="11"/>
  <c r="J136" i="11"/>
  <c r="F137" i="11"/>
  <c r="H137" i="11"/>
  <c r="I137" i="11"/>
  <c r="J137" i="11"/>
  <c r="F138" i="11"/>
  <c r="H138" i="11"/>
  <c r="I138" i="11"/>
  <c r="J138" i="11"/>
  <c r="F139" i="11"/>
  <c r="H139" i="11"/>
  <c r="I139" i="11"/>
  <c r="J139" i="11"/>
  <c r="F140" i="11"/>
  <c r="H140" i="11"/>
  <c r="I140" i="11"/>
  <c r="J140" i="11"/>
  <c r="F141" i="11"/>
  <c r="H141" i="11"/>
  <c r="I141" i="11"/>
  <c r="J141" i="11"/>
  <c r="F142" i="11"/>
  <c r="H142" i="11"/>
  <c r="I142" i="11"/>
  <c r="J142" i="11"/>
  <c r="F143" i="11"/>
  <c r="H143" i="11"/>
  <c r="I143" i="11"/>
  <c r="J143" i="11"/>
  <c r="F144" i="11"/>
  <c r="H144" i="11"/>
  <c r="I144" i="11"/>
  <c r="J144" i="11"/>
  <c r="F145" i="11"/>
  <c r="H145" i="11"/>
  <c r="I145" i="11"/>
  <c r="J145" i="11"/>
  <c r="F146" i="11"/>
  <c r="H146" i="11"/>
  <c r="I146" i="11"/>
  <c r="J146" i="11"/>
  <c r="F18" i="18"/>
  <c r="F19" i="18"/>
  <c r="R133" i="11"/>
  <c r="R132" i="11"/>
  <c r="R131" i="11"/>
  <c r="R130" i="11"/>
  <c r="R129" i="11"/>
  <c r="R128" i="11"/>
  <c r="R127" i="11"/>
  <c r="R126" i="11"/>
  <c r="R125" i="11"/>
  <c r="R124" i="11"/>
  <c r="R120" i="11"/>
  <c r="R119" i="11"/>
  <c r="R118" i="11"/>
  <c r="R117" i="11"/>
  <c r="R116" i="11"/>
  <c r="R115" i="11"/>
  <c r="R114" i="11"/>
  <c r="R113" i="11"/>
  <c r="R112" i="11"/>
  <c r="R111" i="11"/>
  <c r="R107" i="11"/>
  <c r="R106" i="11"/>
  <c r="R105" i="11"/>
  <c r="R104" i="11"/>
  <c r="R103" i="11"/>
  <c r="R102" i="11"/>
  <c r="R101" i="11"/>
  <c r="R100" i="11"/>
  <c r="R99" i="11"/>
  <c r="R98" i="11"/>
  <c r="R94" i="11"/>
  <c r="R93" i="11"/>
  <c r="R92" i="11"/>
  <c r="R91" i="11"/>
  <c r="R90" i="11"/>
  <c r="R89" i="11"/>
  <c r="R88" i="11"/>
  <c r="R87" i="11"/>
  <c r="R86" i="11"/>
  <c r="R85" i="11"/>
  <c r="R81" i="11"/>
  <c r="R80" i="11"/>
  <c r="R79" i="11"/>
  <c r="R78" i="11"/>
  <c r="R77" i="11"/>
  <c r="R76" i="11"/>
  <c r="R75" i="11"/>
  <c r="R74" i="11"/>
  <c r="R73" i="11"/>
  <c r="R72" i="11"/>
  <c r="R68" i="11"/>
  <c r="R67" i="11"/>
  <c r="R66" i="11"/>
  <c r="R65" i="11"/>
  <c r="R64" i="11"/>
  <c r="R63" i="11"/>
  <c r="R62" i="11"/>
  <c r="R61" i="11"/>
  <c r="R60" i="11"/>
  <c r="R59" i="11"/>
  <c r="R55" i="11"/>
  <c r="R54" i="11"/>
  <c r="R53" i="11"/>
  <c r="R52" i="11"/>
  <c r="R51" i="11"/>
  <c r="R50" i="11"/>
  <c r="R49" i="11"/>
  <c r="R48" i="11"/>
  <c r="R47" i="11"/>
  <c r="R46" i="11"/>
  <c r="R42" i="11"/>
  <c r="R41" i="11"/>
  <c r="R40" i="11"/>
  <c r="R39" i="11"/>
  <c r="R38" i="11"/>
  <c r="R37" i="11"/>
  <c r="R36" i="11"/>
  <c r="R35" i="11"/>
  <c r="R34" i="11"/>
  <c r="R33" i="11"/>
  <c r="R29" i="11"/>
  <c r="R28" i="11"/>
  <c r="R27" i="11"/>
  <c r="R26" i="11"/>
  <c r="R25" i="11"/>
  <c r="R24" i="11"/>
  <c r="R23" i="11"/>
  <c r="R22" i="11"/>
  <c r="R21" i="11"/>
  <c r="R20" i="11"/>
  <c r="R16" i="11"/>
  <c r="R15" i="11"/>
  <c r="R14" i="11"/>
  <c r="R13" i="11"/>
  <c r="R12" i="11"/>
  <c r="R11" i="11"/>
  <c r="R10" i="11"/>
  <c r="R9" i="11"/>
  <c r="R8" i="11"/>
  <c r="R7" i="11"/>
  <c r="E15" i="9"/>
  <c r="E16" i="9"/>
  <c r="T40" i="18"/>
  <c r="S40" i="18"/>
  <c r="R40" i="18"/>
  <c r="T39" i="18"/>
  <c r="S39" i="18"/>
  <c r="R39" i="18"/>
  <c r="T38" i="18"/>
  <c r="S38" i="18"/>
  <c r="R38" i="18"/>
  <c r="T37" i="18"/>
  <c r="S37" i="18"/>
  <c r="R37" i="18"/>
  <c r="T36" i="18"/>
  <c r="S36" i="18"/>
  <c r="R36" i="18"/>
  <c r="T35" i="18"/>
  <c r="S35" i="18"/>
  <c r="R35" i="18"/>
  <c r="T34" i="18"/>
  <c r="S34" i="18"/>
  <c r="R34" i="18"/>
  <c r="T33" i="18"/>
  <c r="S33" i="18"/>
  <c r="R33" i="18"/>
  <c r="T28" i="18"/>
  <c r="S28" i="18"/>
  <c r="R28" i="18"/>
  <c r="T27" i="18"/>
  <c r="S27" i="18"/>
  <c r="R27" i="18"/>
  <c r="T26" i="18"/>
  <c r="S26" i="18"/>
  <c r="R26" i="18"/>
  <c r="T25" i="18"/>
  <c r="S25" i="18"/>
  <c r="R25" i="18"/>
  <c r="T24" i="18"/>
  <c r="S24" i="18"/>
  <c r="R24" i="18"/>
  <c r="T23" i="18"/>
  <c r="S23" i="18"/>
  <c r="R23" i="18"/>
  <c r="T22" i="18"/>
  <c r="S22" i="18"/>
  <c r="R22" i="18"/>
  <c r="T21" i="18"/>
  <c r="S21" i="18"/>
  <c r="R21" i="18"/>
  <c r="T20" i="18"/>
  <c r="S20" i="18"/>
  <c r="R20" i="18"/>
  <c r="T19" i="18"/>
  <c r="S19" i="18"/>
  <c r="R19" i="18"/>
  <c r="T16" i="18"/>
  <c r="S16" i="18"/>
  <c r="R16" i="18"/>
  <c r="T15" i="18"/>
  <c r="S15" i="18"/>
  <c r="R15" i="18"/>
  <c r="T14" i="18"/>
  <c r="S14" i="18"/>
  <c r="R14" i="18"/>
  <c r="T13" i="18"/>
  <c r="S13" i="18"/>
  <c r="R13" i="18"/>
  <c r="T12" i="18"/>
  <c r="S12" i="18"/>
  <c r="R12" i="18"/>
  <c r="T11" i="18"/>
  <c r="S11" i="18"/>
  <c r="R11" i="18"/>
  <c r="T10" i="18"/>
  <c r="S10" i="18"/>
  <c r="R10" i="18"/>
  <c r="T9" i="18"/>
  <c r="S9" i="18"/>
  <c r="R9" i="18"/>
  <c r="T8" i="18"/>
  <c r="S8" i="18"/>
  <c r="R8" i="18"/>
  <c r="T7" i="18"/>
  <c r="S7" i="18"/>
  <c r="R7" i="18"/>
  <c r="P40" i="18"/>
  <c r="O40" i="18"/>
  <c r="N40" i="18"/>
  <c r="P39" i="18"/>
  <c r="O39" i="18"/>
  <c r="N39" i="18"/>
  <c r="P38" i="18"/>
  <c r="O38" i="18"/>
  <c r="N38" i="18"/>
  <c r="P37" i="18"/>
  <c r="O37" i="18"/>
  <c r="N37" i="18"/>
  <c r="P36" i="18"/>
  <c r="O36" i="18"/>
  <c r="N36" i="18"/>
  <c r="P35" i="18"/>
  <c r="O35" i="18"/>
  <c r="N35" i="18"/>
  <c r="P34" i="18"/>
  <c r="O34" i="18"/>
  <c r="N34" i="18"/>
  <c r="P33" i="18"/>
  <c r="O33" i="18"/>
  <c r="N33" i="18"/>
  <c r="P28" i="18"/>
  <c r="O28" i="18"/>
  <c r="N28" i="18"/>
  <c r="P27" i="18"/>
  <c r="O27" i="18"/>
  <c r="N27" i="18"/>
  <c r="P26" i="18"/>
  <c r="O26" i="18"/>
  <c r="N26" i="18"/>
  <c r="P25" i="18"/>
  <c r="O25" i="18"/>
  <c r="N25" i="18"/>
  <c r="P24" i="18"/>
  <c r="O24" i="18"/>
  <c r="N24" i="18"/>
  <c r="P23" i="18"/>
  <c r="O23" i="18"/>
  <c r="N23" i="18"/>
  <c r="P22" i="18"/>
  <c r="O22" i="18"/>
  <c r="N22" i="18"/>
  <c r="P21" i="18"/>
  <c r="O21" i="18"/>
  <c r="N21" i="18"/>
  <c r="P20" i="18"/>
  <c r="O20" i="18"/>
  <c r="N20" i="18"/>
  <c r="P19" i="18"/>
  <c r="O19" i="18"/>
  <c r="N19" i="18"/>
  <c r="P16" i="18"/>
  <c r="O16" i="18"/>
  <c r="N16" i="18"/>
  <c r="P15" i="18"/>
  <c r="O15" i="18"/>
  <c r="N15" i="18"/>
  <c r="P14" i="18"/>
  <c r="O14" i="18"/>
  <c r="N14" i="18"/>
  <c r="P13" i="18"/>
  <c r="O13" i="18"/>
  <c r="N13" i="18"/>
  <c r="P12" i="18"/>
  <c r="O12" i="18"/>
  <c r="N12" i="18"/>
  <c r="P11" i="18"/>
  <c r="O11" i="18"/>
  <c r="N11" i="18"/>
  <c r="P10" i="18"/>
  <c r="O10" i="18"/>
  <c r="N10" i="18"/>
  <c r="P9" i="18"/>
  <c r="O9" i="18"/>
  <c r="N9" i="18"/>
  <c r="P8" i="18"/>
  <c r="O8" i="18"/>
  <c r="N8" i="18"/>
  <c r="P7" i="18"/>
  <c r="O7" i="18"/>
  <c r="N7" i="18"/>
  <c r="R69" i="11"/>
  <c r="F69" i="11"/>
  <c r="F4" i="9"/>
  <c r="E56" i="9"/>
  <c r="E55" i="9"/>
  <c r="E54" i="9"/>
  <c r="E53" i="9"/>
  <c r="E52" i="9"/>
  <c r="E51" i="9"/>
  <c r="E50" i="9"/>
  <c r="E49" i="9"/>
  <c r="H7" i="10"/>
  <c r="I7" i="10"/>
  <c r="H8" i="10"/>
  <c r="I8" i="10"/>
  <c r="H9" i="10"/>
  <c r="I9" i="10"/>
  <c r="H10" i="10"/>
  <c r="I10" i="10"/>
  <c r="H11" i="10"/>
  <c r="I11" i="10"/>
  <c r="H12" i="10"/>
  <c r="I12" i="10"/>
  <c r="H13" i="10"/>
  <c r="I13" i="10"/>
  <c r="H14" i="10"/>
  <c r="I14" i="10"/>
  <c r="H15" i="10"/>
  <c r="I15" i="10"/>
  <c r="H16" i="10"/>
  <c r="I16" i="10"/>
  <c r="E17" i="10"/>
  <c r="H17" i="10"/>
  <c r="H19" i="10"/>
  <c r="I19" i="10"/>
  <c r="H20" i="10"/>
  <c r="I20" i="10"/>
  <c r="H21" i="10"/>
  <c r="I21" i="10"/>
  <c r="H22" i="10"/>
  <c r="I22" i="10"/>
  <c r="H23" i="10"/>
  <c r="I23" i="10"/>
  <c r="H24" i="10"/>
  <c r="I24" i="10"/>
  <c r="H25" i="10"/>
  <c r="I25" i="10"/>
  <c r="H26" i="10"/>
  <c r="I26" i="10"/>
  <c r="H27" i="10"/>
  <c r="I27" i="10"/>
  <c r="H28" i="10"/>
  <c r="I28" i="10"/>
  <c r="E29" i="10"/>
  <c r="H29" i="10"/>
  <c r="E31" i="10"/>
  <c r="F31" i="10"/>
  <c r="D33" i="10"/>
  <c r="E33" i="10"/>
  <c r="F33" i="10"/>
  <c r="H33" i="10"/>
  <c r="D35" i="10"/>
  <c r="E36" i="10"/>
  <c r="D37" i="10"/>
  <c r="H38" i="10"/>
  <c r="I38" i="10"/>
  <c r="H39" i="10"/>
  <c r="I39" i="10"/>
  <c r="H40" i="10"/>
  <c r="I40" i="10"/>
  <c r="H41" i="10"/>
  <c r="I41" i="10"/>
  <c r="H42" i="10"/>
  <c r="I42" i="10"/>
  <c r="H43" i="10"/>
  <c r="I43" i="10"/>
  <c r="H44" i="10"/>
  <c r="I44" i="10"/>
  <c r="H45" i="10"/>
  <c r="I45" i="10"/>
  <c r="H46" i="10"/>
  <c r="I46" i="10"/>
  <c r="H47" i="10"/>
  <c r="I47" i="10"/>
  <c r="E48" i="10"/>
  <c r="H48" i="10"/>
  <c r="D49" i="10"/>
  <c r="H50" i="10"/>
  <c r="I50" i="10"/>
  <c r="H51" i="10"/>
  <c r="I51" i="10"/>
  <c r="H52" i="10"/>
  <c r="I52" i="10"/>
  <c r="H53" i="10"/>
  <c r="I53" i="10"/>
  <c r="H54" i="10"/>
  <c r="I54" i="10"/>
  <c r="H55" i="10"/>
  <c r="I55" i="10"/>
  <c r="H56" i="10"/>
  <c r="I56" i="10"/>
  <c r="H57" i="10"/>
  <c r="I57" i="10"/>
  <c r="H58" i="10"/>
  <c r="I58" i="10"/>
  <c r="H59" i="10"/>
  <c r="I59" i="10"/>
  <c r="E60" i="10"/>
  <c r="H60" i="10"/>
  <c r="E62" i="10"/>
  <c r="F62" i="10"/>
  <c r="D64" i="10"/>
  <c r="E64" i="10"/>
  <c r="F64" i="10"/>
  <c r="H64" i="10"/>
  <c r="D66" i="10"/>
  <c r="E67" i="10"/>
  <c r="D68" i="10"/>
  <c r="H69" i="10"/>
  <c r="I69" i="10"/>
  <c r="H70" i="10"/>
  <c r="I70" i="10"/>
  <c r="H71" i="10"/>
  <c r="I71" i="10"/>
  <c r="H72" i="10"/>
  <c r="I72" i="10"/>
  <c r="H73" i="10"/>
  <c r="I73" i="10"/>
  <c r="H74" i="10"/>
  <c r="I74" i="10"/>
  <c r="H75" i="10"/>
  <c r="I75" i="10"/>
  <c r="H76" i="10"/>
  <c r="I76" i="10"/>
  <c r="H77" i="10"/>
  <c r="I77" i="10"/>
  <c r="H78" i="10"/>
  <c r="I78" i="10"/>
  <c r="E79" i="10"/>
  <c r="H79" i="10"/>
  <c r="D80" i="10"/>
  <c r="H81" i="10"/>
  <c r="I81" i="10"/>
  <c r="H82" i="10"/>
  <c r="I82" i="10"/>
  <c r="H83" i="10"/>
  <c r="I83" i="10"/>
  <c r="H84" i="10"/>
  <c r="I84" i="10"/>
  <c r="H85" i="10"/>
  <c r="I85" i="10"/>
  <c r="H86" i="10"/>
  <c r="I86" i="10"/>
  <c r="H87" i="10"/>
  <c r="I87" i="10"/>
  <c r="H88" i="10"/>
  <c r="I88" i="10"/>
  <c r="H89" i="10"/>
  <c r="I89" i="10"/>
  <c r="H90" i="10"/>
  <c r="I90" i="10"/>
  <c r="E91" i="10"/>
  <c r="H91" i="10"/>
  <c r="E93" i="10"/>
  <c r="F93" i="10"/>
  <c r="D95" i="10"/>
  <c r="E95" i="10"/>
  <c r="F95" i="10"/>
  <c r="H95" i="10"/>
  <c r="D97" i="10"/>
  <c r="E98" i="10"/>
  <c r="D99" i="10"/>
  <c r="H100" i="10"/>
  <c r="I100" i="10"/>
  <c r="H101" i="10"/>
  <c r="I101" i="10"/>
  <c r="H102" i="10"/>
  <c r="I102" i="10"/>
  <c r="H103" i="10"/>
  <c r="I103" i="10"/>
  <c r="H104" i="10"/>
  <c r="I104" i="10"/>
  <c r="H105" i="10"/>
  <c r="I105" i="10"/>
  <c r="H106" i="10"/>
  <c r="I106" i="10"/>
  <c r="H107" i="10"/>
  <c r="I107" i="10"/>
  <c r="H108" i="10"/>
  <c r="I108" i="10"/>
  <c r="H109" i="10"/>
  <c r="I109" i="10"/>
  <c r="E110" i="10"/>
  <c r="H110" i="10"/>
  <c r="D111" i="10"/>
  <c r="H112" i="10"/>
  <c r="I112" i="10"/>
  <c r="H113" i="10"/>
  <c r="I113" i="10"/>
  <c r="H114" i="10"/>
  <c r="I114" i="10"/>
  <c r="H115" i="10"/>
  <c r="I115" i="10"/>
  <c r="H116" i="10"/>
  <c r="I116" i="10"/>
  <c r="H117" i="10"/>
  <c r="I117" i="10"/>
  <c r="H118" i="10"/>
  <c r="I118" i="10"/>
  <c r="H119" i="10"/>
  <c r="I119" i="10"/>
  <c r="H120" i="10"/>
  <c r="I120" i="10"/>
  <c r="H121" i="10"/>
  <c r="I121" i="10"/>
  <c r="E122" i="10"/>
  <c r="H122" i="10"/>
  <c r="E124" i="10"/>
  <c r="F124" i="10"/>
  <c r="D126" i="10"/>
  <c r="E126" i="10"/>
  <c r="F126" i="10"/>
  <c r="H126" i="10"/>
  <c r="D128" i="10"/>
  <c r="E129" i="10"/>
  <c r="D130" i="10"/>
  <c r="H131" i="10"/>
  <c r="I131" i="10"/>
  <c r="H132" i="10"/>
  <c r="I132" i="10"/>
  <c r="H133" i="10"/>
  <c r="I133" i="10"/>
  <c r="H134" i="10"/>
  <c r="I134" i="10"/>
  <c r="H135" i="10"/>
  <c r="I135" i="10"/>
  <c r="H136" i="10"/>
  <c r="I136" i="10"/>
  <c r="H137" i="10"/>
  <c r="I137" i="10"/>
  <c r="H138" i="10"/>
  <c r="I138" i="10"/>
  <c r="H139" i="10"/>
  <c r="I139" i="10"/>
  <c r="H140" i="10"/>
  <c r="I140" i="10"/>
  <c r="E141" i="10"/>
  <c r="H141" i="10"/>
  <c r="D142" i="10"/>
  <c r="H143" i="10"/>
  <c r="I143" i="10"/>
  <c r="H144" i="10"/>
  <c r="I144" i="10"/>
  <c r="H145" i="10"/>
  <c r="I145" i="10"/>
  <c r="H146" i="10"/>
  <c r="I146" i="10"/>
  <c r="H147" i="10"/>
  <c r="I147" i="10"/>
  <c r="H148" i="10"/>
  <c r="I148" i="10"/>
  <c r="H149" i="10"/>
  <c r="I149" i="10"/>
  <c r="H150" i="10"/>
  <c r="I150" i="10"/>
  <c r="H151" i="10"/>
  <c r="I151" i="10"/>
  <c r="H152" i="10"/>
  <c r="I152" i="10"/>
  <c r="E153" i="10"/>
  <c r="H153" i="10"/>
  <c r="E155" i="10"/>
  <c r="F155" i="10"/>
  <c r="D157" i="10"/>
  <c r="E157" i="10"/>
  <c r="F157" i="10"/>
  <c r="H157" i="10"/>
  <c r="D159" i="10"/>
  <c r="E160" i="10"/>
  <c r="D161" i="10"/>
  <c r="H162" i="10"/>
  <c r="I162" i="10"/>
  <c r="H163" i="10"/>
  <c r="I163" i="10"/>
  <c r="H164" i="10"/>
  <c r="I164" i="10"/>
  <c r="H165" i="10"/>
  <c r="I165" i="10"/>
  <c r="H166" i="10"/>
  <c r="I166" i="10"/>
  <c r="H167" i="10"/>
  <c r="I167" i="10"/>
  <c r="H168" i="10"/>
  <c r="I168" i="10"/>
  <c r="H169" i="10"/>
  <c r="I169" i="10"/>
  <c r="H170" i="10"/>
  <c r="I170" i="10"/>
  <c r="H171" i="10"/>
  <c r="I171" i="10"/>
  <c r="E172" i="10"/>
  <c r="H172" i="10"/>
  <c r="D173" i="10"/>
  <c r="H174" i="10"/>
  <c r="I174" i="10"/>
  <c r="H175" i="10"/>
  <c r="I175" i="10"/>
  <c r="H176" i="10"/>
  <c r="I176" i="10"/>
  <c r="H177" i="10"/>
  <c r="I177" i="10"/>
  <c r="H178" i="10"/>
  <c r="I178" i="10"/>
  <c r="H179" i="10"/>
  <c r="I179" i="10"/>
  <c r="H180" i="10"/>
  <c r="I180" i="10"/>
  <c r="H181" i="10"/>
  <c r="I181" i="10"/>
  <c r="H182" i="10"/>
  <c r="I182" i="10"/>
  <c r="H183" i="10"/>
  <c r="I183" i="10"/>
  <c r="E184" i="10"/>
  <c r="H184" i="10"/>
  <c r="E186" i="10"/>
  <c r="F186" i="10"/>
  <c r="D188" i="10"/>
  <c r="E188" i="10"/>
  <c r="F188" i="10"/>
  <c r="H188" i="10"/>
  <c r="D190" i="10"/>
  <c r="E191" i="10"/>
  <c r="D192" i="10"/>
  <c r="H193" i="10"/>
  <c r="I193" i="10"/>
  <c r="H194" i="10"/>
  <c r="I194" i="10"/>
  <c r="H195" i="10"/>
  <c r="I195" i="10"/>
  <c r="H196" i="10"/>
  <c r="I196" i="10"/>
  <c r="H197" i="10"/>
  <c r="I197" i="10"/>
  <c r="H198" i="10"/>
  <c r="I198" i="10"/>
  <c r="H199" i="10"/>
  <c r="I199" i="10"/>
  <c r="H200" i="10"/>
  <c r="I200" i="10"/>
  <c r="H201" i="10"/>
  <c r="I201" i="10"/>
  <c r="H202" i="10"/>
  <c r="I202" i="10"/>
  <c r="E203" i="10"/>
  <c r="H203" i="10"/>
  <c r="D204" i="10"/>
  <c r="H205" i="10"/>
  <c r="I205" i="10"/>
  <c r="H206" i="10"/>
  <c r="I206" i="10"/>
  <c r="H207" i="10"/>
  <c r="I207" i="10"/>
  <c r="H208" i="10"/>
  <c r="I208" i="10"/>
  <c r="H209" i="10"/>
  <c r="I209" i="10"/>
  <c r="H210" i="10"/>
  <c r="I210" i="10"/>
  <c r="H211" i="10"/>
  <c r="I211" i="10"/>
  <c r="H212" i="10"/>
  <c r="I212" i="10"/>
  <c r="H213" i="10"/>
  <c r="I213" i="10"/>
  <c r="H214" i="10"/>
  <c r="I214" i="10"/>
  <c r="E215" i="10"/>
  <c r="H215" i="10"/>
  <c r="E217" i="10"/>
  <c r="F217" i="10"/>
  <c r="D219" i="10"/>
  <c r="E219" i="10"/>
  <c r="F219" i="10"/>
  <c r="H219" i="10"/>
  <c r="D221" i="10"/>
  <c r="E222" i="10"/>
  <c r="D223" i="10"/>
  <c r="H224" i="10"/>
  <c r="I224" i="10"/>
  <c r="H225" i="10"/>
  <c r="I225" i="10"/>
  <c r="H226" i="10"/>
  <c r="I226" i="10"/>
  <c r="H227" i="10"/>
  <c r="I227" i="10"/>
  <c r="H228" i="10"/>
  <c r="I228" i="10"/>
  <c r="H229" i="10"/>
  <c r="I229" i="10"/>
  <c r="H230" i="10"/>
  <c r="I230" i="10"/>
  <c r="H231" i="10"/>
  <c r="I231" i="10"/>
  <c r="H232" i="10"/>
  <c r="I232" i="10"/>
  <c r="H233" i="10"/>
  <c r="I233" i="10"/>
  <c r="E234" i="10"/>
  <c r="H234" i="10"/>
  <c r="D235" i="10"/>
  <c r="H236" i="10"/>
  <c r="I236" i="10"/>
  <c r="H237" i="10"/>
  <c r="I237" i="10"/>
  <c r="H238" i="10"/>
  <c r="I238" i="10"/>
  <c r="H239" i="10"/>
  <c r="I239" i="10"/>
  <c r="H240" i="10"/>
  <c r="I240" i="10"/>
  <c r="H241" i="10"/>
  <c r="I241" i="10"/>
  <c r="H242" i="10"/>
  <c r="I242" i="10"/>
  <c r="H243" i="10"/>
  <c r="I243" i="10"/>
  <c r="H244" i="10"/>
  <c r="I244" i="10"/>
  <c r="H245" i="10"/>
  <c r="I245" i="10"/>
  <c r="E246" i="10"/>
  <c r="H246" i="10"/>
  <c r="E248" i="10"/>
  <c r="F248" i="10"/>
  <c r="D250" i="10"/>
  <c r="E250" i="10"/>
  <c r="F250" i="10"/>
  <c r="H250" i="10"/>
  <c r="D252" i="10"/>
  <c r="E253" i="10"/>
  <c r="D254" i="10"/>
  <c r="H255" i="10"/>
  <c r="I255" i="10"/>
  <c r="H256" i="10"/>
  <c r="I256" i="10"/>
  <c r="H257" i="10"/>
  <c r="I257" i="10"/>
  <c r="H258" i="10"/>
  <c r="I258" i="10"/>
  <c r="H259" i="10"/>
  <c r="I259" i="10"/>
  <c r="H260" i="10"/>
  <c r="I260" i="10"/>
  <c r="H261" i="10"/>
  <c r="I261" i="10"/>
  <c r="H262" i="10"/>
  <c r="I262" i="10"/>
  <c r="H263" i="10"/>
  <c r="I263" i="10"/>
  <c r="H264" i="10"/>
  <c r="I264" i="10"/>
  <c r="E265" i="10"/>
  <c r="H265" i="10"/>
  <c r="D266" i="10"/>
  <c r="H267" i="10"/>
  <c r="I267" i="10"/>
  <c r="H268" i="10"/>
  <c r="I268" i="10"/>
  <c r="H269" i="10"/>
  <c r="I269" i="10"/>
  <c r="H270" i="10"/>
  <c r="I270" i="10"/>
  <c r="H271" i="10"/>
  <c r="I271" i="10"/>
  <c r="H272" i="10"/>
  <c r="I272" i="10"/>
  <c r="H273" i="10"/>
  <c r="I273" i="10"/>
  <c r="H274" i="10"/>
  <c r="I274" i="10"/>
  <c r="H275" i="10"/>
  <c r="I275" i="10"/>
  <c r="H276" i="10"/>
  <c r="I276" i="10"/>
  <c r="E277" i="10"/>
  <c r="H277" i="10"/>
  <c r="E279" i="10"/>
  <c r="F279" i="10"/>
  <c r="D281" i="10"/>
  <c r="E281" i="10"/>
  <c r="F281" i="10"/>
  <c r="H281" i="10"/>
  <c r="D283" i="10"/>
  <c r="E284" i="10"/>
  <c r="D285" i="10"/>
  <c r="H286" i="10"/>
  <c r="I286" i="10"/>
  <c r="H287" i="10"/>
  <c r="I287" i="10"/>
  <c r="H288" i="10"/>
  <c r="I288" i="10"/>
  <c r="H289" i="10"/>
  <c r="I289" i="10"/>
  <c r="H290" i="10"/>
  <c r="I290" i="10"/>
  <c r="H291" i="10"/>
  <c r="I291" i="10"/>
  <c r="H292" i="10"/>
  <c r="I292" i="10"/>
  <c r="H293" i="10"/>
  <c r="I293" i="10"/>
  <c r="H294" i="10"/>
  <c r="I294" i="10"/>
  <c r="H295" i="10"/>
  <c r="I295" i="10"/>
  <c r="E296" i="10"/>
  <c r="H296" i="10"/>
  <c r="D297" i="10"/>
  <c r="H298" i="10"/>
  <c r="I298" i="10"/>
  <c r="H299" i="10"/>
  <c r="I299" i="10"/>
  <c r="H300" i="10"/>
  <c r="I300" i="10"/>
  <c r="H301" i="10"/>
  <c r="I301" i="10"/>
  <c r="H302" i="10"/>
  <c r="I302" i="10"/>
  <c r="H303" i="10"/>
  <c r="I303" i="10"/>
  <c r="H304" i="10"/>
  <c r="I304" i="10"/>
  <c r="H305" i="10"/>
  <c r="I305" i="10"/>
  <c r="H306" i="10"/>
  <c r="I306" i="10"/>
  <c r="H307" i="10"/>
  <c r="I307" i="10"/>
  <c r="I33" i="18"/>
  <c r="Z33" i="18"/>
  <c r="Z7" i="18"/>
  <c r="Z8" i="18"/>
  <c r="Z9" i="18"/>
  <c r="Z10" i="18"/>
  <c r="Z11" i="18"/>
  <c r="Z12" i="18"/>
  <c r="Z13" i="18"/>
  <c r="Z19" i="18"/>
  <c r="Z20" i="18"/>
  <c r="Z21" i="18"/>
  <c r="Z22" i="18"/>
  <c r="Z23" i="18"/>
  <c r="Z24" i="18"/>
  <c r="Z25" i="18"/>
  <c r="Z34" i="18"/>
  <c r="Z35" i="18"/>
  <c r="Z36" i="18"/>
  <c r="Z37" i="18"/>
  <c r="Z38" i="18"/>
  <c r="Z39" i="18"/>
  <c r="Z40" i="18"/>
  <c r="P6" i="18"/>
  <c r="T6" i="18"/>
  <c r="X6" i="18"/>
  <c r="N6" i="18"/>
  <c r="R6" i="18"/>
  <c r="V6" i="18"/>
  <c r="AA6" i="18"/>
  <c r="AA1" i="18"/>
  <c r="O6" i="18"/>
  <c r="S6" i="18"/>
  <c r="W6" i="18"/>
  <c r="AB6" i="18"/>
  <c r="AB1" i="18"/>
  <c r="AC6" i="18"/>
  <c r="AC1" i="18"/>
  <c r="AE6" i="18"/>
  <c r="AE1" i="18"/>
  <c r="AF6" i="18"/>
  <c r="AF1" i="18"/>
  <c r="AG6" i="18"/>
  <c r="AG1" i="18"/>
  <c r="AI6" i="18"/>
  <c r="AI1" i="18"/>
  <c r="AJ6" i="18"/>
  <c r="AJ1" i="18"/>
  <c r="AK6" i="18"/>
  <c r="AK1" i="18"/>
  <c r="AM6" i="18"/>
  <c r="AM1" i="18"/>
  <c r="AN6" i="18"/>
  <c r="AN1" i="18"/>
  <c r="AO6" i="18"/>
  <c r="AO1" i="18"/>
  <c r="AQ6" i="18"/>
  <c r="AQ1" i="18"/>
  <c r="AR6" i="18"/>
  <c r="AR1" i="18"/>
  <c r="AS6" i="18"/>
  <c r="AS1" i="18"/>
  <c r="AS33" i="18"/>
  <c r="X33" i="18"/>
  <c r="AS34" i="18"/>
  <c r="I34" i="18"/>
  <c r="I35" i="18"/>
  <c r="AS35" i="18"/>
  <c r="X35" i="18"/>
  <c r="I36" i="18"/>
  <c r="AS36" i="18"/>
  <c r="X36" i="18"/>
  <c r="AS37" i="18"/>
  <c r="I37" i="18"/>
  <c r="X37" i="18"/>
  <c r="AS38" i="18"/>
  <c r="I38" i="18"/>
  <c r="X38" i="18"/>
  <c r="AS39" i="18"/>
  <c r="I39" i="18"/>
  <c r="AS40" i="18"/>
  <c r="I40" i="18"/>
  <c r="P32" i="18"/>
  <c r="T32" i="18"/>
  <c r="X32" i="18"/>
  <c r="W33" i="18"/>
  <c r="W35" i="18"/>
  <c r="W36" i="18"/>
  <c r="W37" i="18"/>
  <c r="W38" i="18"/>
  <c r="W39" i="18"/>
  <c r="W40" i="18"/>
  <c r="O32" i="18"/>
  <c r="S32" i="18"/>
  <c r="W32" i="18"/>
  <c r="V33" i="18"/>
  <c r="V34" i="18"/>
  <c r="V35" i="18"/>
  <c r="V36" i="18"/>
  <c r="V37" i="18"/>
  <c r="V38" i="18"/>
  <c r="N32" i="18"/>
  <c r="R32" i="18"/>
  <c r="V32" i="18"/>
  <c r="I28" i="18"/>
  <c r="X28" i="18"/>
  <c r="W28" i="18"/>
  <c r="V28" i="18"/>
  <c r="I27" i="18"/>
  <c r="X27" i="18"/>
  <c r="W27" i="18"/>
  <c r="V27" i="18"/>
  <c r="I26" i="18"/>
  <c r="X26" i="18"/>
  <c r="W26" i="18"/>
  <c r="V26" i="18"/>
  <c r="I25" i="18"/>
  <c r="X25" i="18"/>
  <c r="W25" i="18"/>
  <c r="V25" i="18"/>
  <c r="I24" i="18"/>
  <c r="X24" i="18"/>
  <c r="W24" i="18"/>
  <c r="V24" i="18"/>
  <c r="I23" i="18"/>
  <c r="X23" i="18"/>
  <c r="W23" i="18"/>
  <c r="V23" i="18"/>
  <c r="I22" i="18"/>
  <c r="X22" i="18"/>
  <c r="W22" i="18"/>
  <c r="V22" i="18"/>
  <c r="I21" i="18"/>
  <c r="X21" i="18"/>
  <c r="W21" i="18"/>
  <c r="V21" i="18"/>
  <c r="I20" i="18"/>
  <c r="X20" i="18"/>
  <c r="W20" i="18"/>
  <c r="V20" i="18"/>
  <c r="I19" i="18"/>
  <c r="X19" i="18"/>
  <c r="W19" i="18"/>
  <c r="V19" i="18"/>
  <c r="I16" i="18"/>
  <c r="X16" i="18"/>
  <c r="W16" i="18"/>
  <c r="V16" i="18"/>
  <c r="I15" i="18"/>
  <c r="X15" i="18"/>
  <c r="W15" i="18"/>
  <c r="V15" i="18"/>
  <c r="I14" i="18"/>
  <c r="X14" i="18"/>
  <c r="W14" i="18"/>
  <c r="V14" i="18"/>
  <c r="I13" i="18"/>
  <c r="X13" i="18"/>
  <c r="W13" i="18"/>
  <c r="V13" i="18"/>
  <c r="I12" i="18"/>
  <c r="X12" i="18"/>
  <c r="W12" i="18"/>
  <c r="V12" i="18"/>
  <c r="I11" i="18"/>
  <c r="X11" i="18"/>
  <c r="W11" i="18"/>
  <c r="V11" i="18"/>
  <c r="I10" i="18"/>
  <c r="X10" i="18"/>
  <c r="W10" i="18"/>
  <c r="V10" i="18"/>
  <c r="I9" i="18"/>
  <c r="X9" i="18"/>
  <c r="W9" i="18"/>
  <c r="V9" i="18"/>
  <c r="I8" i="18"/>
  <c r="X8" i="18"/>
  <c r="W8" i="18"/>
  <c r="V8" i="18"/>
  <c r="I7" i="18"/>
  <c r="X7" i="18"/>
  <c r="W7" i="18"/>
  <c r="V7" i="18"/>
  <c r="AK40" i="18"/>
  <c r="AC40" i="18"/>
  <c r="AS41" i="18"/>
  <c r="AR41" i="18"/>
  <c r="AQ41" i="18"/>
  <c r="AO36" i="18"/>
  <c r="AO37" i="18"/>
  <c r="AO38" i="18"/>
  <c r="AO33" i="18"/>
  <c r="AO35" i="18"/>
  <c r="AK37" i="18"/>
  <c r="AK38" i="18"/>
  <c r="AK39" i="18"/>
  <c r="AK34" i="18"/>
  <c r="AK33" i="18"/>
  <c r="AK35" i="18"/>
  <c r="AK36" i="18"/>
  <c r="AK41" i="18"/>
  <c r="AJ41" i="18"/>
  <c r="AI41" i="18"/>
  <c r="AG37" i="18"/>
  <c r="AG38" i="18"/>
  <c r="AG33" i="18"/>
  <c r="AG35" i="18"/>
  <c r="AG36" i="18"/>
  <c r="AC37" i="18"/>
  <c r="AC38" i="18"/>
  <c r="AC39" i="18"/>
  <c r="AC34" i="18"/>
  <c r="AC33" i="18"/>
  <c r="AC35" i="18"/>
  <c r="AC36" i="18"/>
  <c r="AC41" i="18"/>
  <c r="AB41" i="18"/>
  <c r="AA41" i="18"/>
  <c r="AS29" i="18"/>
  <c r="AR29" i="18"/>
  <c r="AQ29" i="18"/>
  <c r="AO29" i="18"/>
  <c r="AN29" i="18"/>
  <c r="AM29" i="18"/>
  <c r="AK29" i="18"/>
  <c r="AJ29" i="18"/>
  <c r="AI29" i="18"/>
  <c r="AG29" i="18"/>
  <c r="AF29" i="18"/>
  <c r="AE29" i="18"/>
  <c r="AC29" i="18"/>
  <c r="AB29" i="18"/>
  <c r="AA29" i="18"/>
  <c r="X29" i="18"/>
  <c r="W29" i="18"/>
  <c r="V29" i="18"/>
  <c r="X17" i="18"/>
  <c r="W17" i="18"/>
  <c r="V17" i="18"/>
  <c r="AS17" i="18"/>
  <c r="AR17" i="18"/>
  <c r="AQ17" i="18"/>
  <c r="AO17" i="18"/>
  <c r="AN17" i="18"/>
  <c r="AM17" i="18"/>
  <c r="AK17" i="18"/>
  <c r="AJ17" i="18"/>
  <c r="AI17" i="18"/>
  <c r="AG17" i="18"/>
  <c r="AF17" i="18"/>
  <c r="AE17" i="18"/>
  <c r="P136" i="7"/>
  <c r="P137" i="7"/>
  <c r="P141" i="7"/>
  <c r="P138" i="7"/>
  <c r="P139" i="7"/>
  <c r="P140" i="7"/>
  <c r="P4" i="7"/>
  <c r="P135" i="7"/>
  <c r="P142" i="7"/>
  <c r="AC17" i="18"/>
  <c r="O136" i="7"/>
  <c r="O137" i="7"/>
  <c r="O139" i="7"/>
  <c r="O141" i="7"/>
  <c r="O138" i="7"/>
  <c r="O140" i="7"/>
  <c r="O4" i="7"/>
  <c r="O135" i="7"/>
  <c r="O142" i="7"/>
  <c r="AB17" i="18"/>
  <c r="N137" i="7"/>
  <c r="N138" i="7"/>
  <c r="N139" i="7"/>
  <c r="N4" i="7"/>
  <c r="N135" i="7"/>
  <c r="N136" i="7"/>
  <c r="N140" i="7"/>
  <c r="N141" i="7"/>
  <c r="N142" i="7"/>
  <c r="AA17" i="18"/>
  <c r="AC32" i="18"/>
  <c r="AG32" i="18"/>
  <c r="AK32" i="18"/>
  <c r="AO32" i="18"/>
  <c r="AS32" i="18"/>
  <c r="AB32" i="18"/>
  <c r="AF32" i="18"/>
  <c r="AJ32" i="18"/>
  <c r="AN32" i="18"/>
  <c r="AR32" i="18"/>
  <c r="AA32" i="18"/>
  <c r="AE32" i="18"/>
  <c r="AI32" i="18"/>
  <c r="AM32" i="18"/>
  <c r="AQ32" i="18"/>
  <c r="F30" i="7"/>
  <c r="J7" i="9"/>
  <c r="C86" i="13"/>
  <c r="B10" i="18"/>
  <c r="F10" i="18"/>
  <c r="E10" i="18"/>
  <c r="D10" i="18"/>
  <c r="C10" i="18"/>
  <c r="B9" i="18"/>
  <c r="C9" i="18"/>
  <c r="C11" i="18"/>
  <c r="F9" i="18"/>
  <c r="E9" i="18"/>
  <c r="D9" i="18"/>
  <c r="J16" i="9"/>
  <c r="J15" i="9"/>
  <c r="J14" i="9"/>
  <c r="J13" i="9"/>
  <c r="J12" i="9"/>
  <c r="J11" i="9"/>
  <c r="J10" i="9"/>
  <c r="J9" i="9"/>
  <c r="J8" i="9"/>
  <c r="D6" i="17"/>
  <c r="D7" i="17"/>
  <c r="E6" i="17"/>
  <c r="E7" i="17"/>
  <c r="F6" i="17"/>
  <c r="F7" i="17"/>
  <c r="D8" i="17"/>
  <c r="E8" i="17"/>
  <c r="F8" i="17"/>
  <c r="D9" i="17"/>
  <c r="E9" i="17"/>
  <c r="F9" i="17"/>
  <c r="D10" i="17"/>
  <c r="E10" i="17"/>
  <c r="F10" i="17"/>
  <c r="D11" i="17"/>
  <c r="E11" i="17"/>
  <c r="F11" i="17"/>
  <c r="D12" i="17"/>
  <c r="E12" i="17"/>
  <c r="F12" i="17"/>
  <c r="D13" i="17"/>
  <c r="E13" i="17"/>
  <c r="F13" i="17"/>
  <c r="D14" i="17"/>
  <c r="E14" i="17"/>
  <c r="F14" i="17"/>
  <c r="D15" i="17"/>
  <c r="E15" i="17"/>
  <c r="F15" i="17"/>
  <c r="D16" i="17"/>
  <c r="E16" i="17"/>
  <c r="F16" i="17"/>
  <c r="D19" i="17"/>
  <c r="E19" i="17"/>
  <c r="F19" i="17"/>
  <c r="D20" i="17"/>
  <c r="E20" i="17"/>
  <c r="F20" i="17"/>
  <c r="D21" i="17"/>
  <c r="E21" i="17"/>
  <c r="F21" i="17"/>
  <c r="D22" i="17"/>
  <c r="E22" i="17"/>
  <c r="F22" i="17"/>
  <c r="D23" i="17"/>
  <c r="E23" i="17"/>
  <c r="F23" i="17"/>
  <c r="D24" i="17"/>
  <c r="E24" i="17"/>
  <c r="F24" i="17"/>
  <c r="D25" i="17"/>
  <c r="E25" i="17"/>
  <c r="F25" i="17"/>
  <c r="D26" i="17"/>
  <c r="E26" i="17"/>
  <c r="F26" i="17"/>
  <c r="D27" i="17"/>
  <c r="E27" i="17"/>
  <c r="F27" i="17"/>
  <c r="D28" i="17"/>
  <c r="E28" i="17"/>
  <c r="F28" i="17"/>
  <c r="D4" i="10"/>
  <c r="N143" i="7"/>
  <c r="N144" i="7"/>
  <c r="N145" i="7"/>
  <c r="N146" i="7"/>
  <c r="N136" i="11"/>
  <c r="N137" i="11"/>
  <c r="N138" i="11"/>
  <c r="N139" i="11"/>
  <c r="N140" i="11"/>
  <c r="N141" i="11"/>
  <c r="N142" i="11"/>
  <c r="N143" i="11"/>
  <c r="N144" i="11"/>
  <c r="N145" i="11"/>
  <c r="N146" i="11"/>
  <c r="L136" i="7"/>
  <c r="L137" i="7"/>
  <c r="L138" i="7"/>
  <c r="L139" i="7"/>
  <c r="L140" i="7"/>
  <c r="L141" i="7"/>
  <c r="L142" i="7"/>
  <c r="L143" i="7"/>
  <c r="L144" i="7"/>
  <c r="L145" i="7"/>
  <c r="L146" i="7"/>
  <c r="L136" i="11"/>
  <c r="L137" i="11"/>
  <c r="L138" i="11"/>
  <c r="L139" i="11"/>
  <c r="L140" i="11"/>
  <c r="L141" i="11"/>
  <c r="L142" i="11"/>
  <c r="L143" i="11"/>
  <c r="L144" i="11"/>
  <c r="L145" i="11"/>
  <c r="L146" i="11"/>
  <c r="N4" i="11"/>
  <c r="N135" i="11"/>
  <c r="O4" i="11"/>
  <c r="O135" i="11"/>
  <c r="P4" i="11"/>
  <c r="P135" i="11"/>
  <c r="O143" i="7"/>
  <c r="O144" i="7"/>
  <c r="O145" i="7"/>
  <c r="O146" i="7"/>
  <c r="P143" i="7"/>
  <c r="P144" i="7"/>
  <c r="P145" i="7"/>
  <c r="P146" i="7"/>
  <c r="P136" i="11"/>
  <c r="P137" i="11"/>
  <c r="P138" i="11"/>
  <c r="P139" i="11"/>
  <c r="P140" i="11"/>
  <c r="P141" i="11"/>
  <c r="P142" i="11"/>
  <c r="P143" i="11"/>
  <c r="P144" i="11"/>
  <c r="P145" i="11"/>
  <c r="P146" i="11"/>
  <c r="O136" i="11"/>
  <c r="O137" i="11"/>
  <c r="O138" i="11"/>
  <c r="O139" i="11"/>
  <c r="O140" i="11"/>
  <c r="O141" i="11"/>
  <c r="O142" i="11"/>
  <c r="O143" i="11"/>
  <c r="O144" i="11"/>
  <c r="O145" i="11"/>
  <c r="O146" i="11"/>
  <c r="F20" i="18"/>
  <c r="R134" i="11"/>
  <c r="F134" i="11"/>
  <c r="R121" i="11"/>
  <c r="F121" i="11"/>
  <c r="R108" i="11"/>
  <c r="F108" i="11"/>
  <c r="R95" i="11"/>
  <c r="F95" i="11"/>
  <c r="R82" i="11"/>
  <c r="F82" i="11"/>
  <c r="R56" i="11"/>
  <c r="F56" i="11"/>
  <c r="R43" i="11"/>
  <c r="F43" i="11"/>
  <c r="R30" i="11"/>
  <c r="F30" i="11"/>
  <c r="R17" i="11"/>
  <c r="F17" i="11"/>
  <c r="R124" i="7"/>
  <c r="R125" i="7"/>
  <c r="R126" i="7"/>
  <c r="R127" i="7"/>
  <c r="R128" i="7"/>
  <c r="R129" i="7"/>
  <c r="R130" i="7"/>
  <c r="R131" i="7"/>
  <c r="R132" i="7"/>
  <c r="R133" i="7"/>
  <c r="R134" i="7"/>
  <c r="F134" i="7"/>
  <c r="R111" i="7"/>
  <c r="R112" i="7"/>
  <c r="R113" i="7"/>
  <c r="R114" i="7"/>
  <c r="R115" i="7"/>
  <c r="R116" i="7"/>
  <c r="R117" i="7"/>
  <c r="R118" i="7"/>
  <c r="R119" i="7"/>
  <c r="R120" i="7"/>
  <c r="R121" i="7"/>
  <c r="F121" i="7"/>
  <c r="R98" i="7"/>
  <c r="R99" i="7"/>
  <c r="R100" i="7"/>
  <c r="R101" i="7"/>
  <c r="R102" i="7"/>
  <c r="R103" i="7"/>
  <c r="R104" i="7"/>
  <c r="R105" i="7"/>
  <c r="R106" i="7"/>
  <c r="R107" i="7"/>
  <c r="R108" i="7"/>
  <c r="F108" i="7"/>
  <c r="R85" i="7"/>
  <c r="R86" i="7"/>
  <c r="R87" i="7"/>
  <c r="R88" i="7"/>
  <c r="R89" i="7"/>
  <c r="R90" i="7"/>
  <c r="R91" i="7"/>
  <c r="R92" i="7"/>
  <c r="R93" i="7"/>
  <c r="R94" i="7"/>
  <c r="R95" i="7"/>
  <c r="F95" i="7"/>
  <c r="R72" i="7"/>
  <c r="R73" i="7"/>
  <c r="R74" i="7"/>
  <c r="R75" i="7"/>
  <c r="R76" i="7"/>
  <c r="R77" i="7"/>
  <c r="R78" i="7"/>
  <c r="R79" i="7"/>
  <c r="R80" i="7"/>
  <c r="R81" i="7"/>
  <c r="R82" i="7"/>
  <c r="F82" i="7"/>
  <c r="R60" i="7"/>
  <c r="R59" i="7"/>
  <c r="R61" i="7"/>
  <c r="R62" i="7"/>
  <c r="R63" i="7"/>
  <c r="R64" i="7"/>
  <c r="R65" i="7"/>
  <c r="R66" i="7"/>
  <c r="R67" i="7"/>
  <c r="R68" i="7"/>
  <c r="R69" i="7"/>
  <c r="F69" i="7"/>
  <c r="R47" i="7"/>
  <c r="R46" i="7"/>
  <c r="R48" i="7"/>
  <c r="R49" i="7"/>
  <c r="R50" i="7"/>
  <c r="R51" i="7"/>
  <c r="R52" i="7"/>
  <c r="R53" i="7"/>
  <c r="R54" i="7"/>
  <c r="R55" i="7"/>
  <c r="R56" i="7"/>
  <c r="F56" i="7"/>
  <c r="R33" i="7"/>
  <c r="R34" i="7"/>
  <c r="R35" i="7"/>
  <c r="R36" i="7"/>
  <c r="R37" i="7"/>
  <c r="R38" i="7"/>
  <c r="R39" i="7"/>
  <c r="R40" i="7"/>
  <c r="R41" i="7"/>
  <c r="R42" i="7"/>
  <c r="R43" i="7"/>
  <c r="F43" i="7"/>
  <c r="R20" i="7"/>
  <c r="R21" i="7"/>
  <c r="R22" i="7"/>
  <c r="R23" i="7"/>
  <c r="R24" i="7"/>
  <c r="R25" i="7"/>
  <c r="R26" i="7"/>
  <c r="R27" i="7"/>
  <c r="R28" i="7"/>
  <c r="R29" i="7"/>
  <c r="R30" i="7"/>
  <c r="R7" i="7"/>
  <c r="R8" i="7"/>
  <c r="R9" i="7"/>
  <c r="R10" i="7"/>
  <c r="R11" i="7"/>
  <c r="R12" i="7"/>
  <c r="R13" i="7"/>
  <c r="R14" i="7"/>
  <c r="R15" i="7"/>
  <c r="R16" i="7"/>
  <c r="R17" i="7"/>
  <c r="F17" i="7"/>
  <c r="E308" i="10"/>
  <c r="E310" i="10"/>
  <c r="F310" i="10"/>
  <c r="H308" i="10"/>
  <c r="B5" i="13"/>
  <c r="G22" i="13"/>
  <c r="G39" i="13"/>
  <c r="G73" i="13"/>
  <c r="C60" i="19"/>
  <c r="C59" i="19"/>
  <c r="C58" i="19"/>
  <c r="C57" i="19"/>
  <c r="C56" i="19"/>
  <c r="C51" i="19"/>
  <c r="C50" i="19"/>
  <c r="C48" i="19"/>
  <c r="C47" i="19"/>
  <c r="C46" i="19"/>
  <c r="C41" i="19"/>
  <c r="C40" i="19"/>
  <c r="C39" i="19"/>
  <c r="C38" i="19"/>
  <c r="C37" i="19"/>
  <c r="C36" i="19"/>
  <c r="C35" i="19"/>
  <c r="C31" i="19"/>
  <c r="C30" i="19"/>
  <c r="C29" i="19"/>
  <c r="C25" i="19"/>
  <c r="C24" i="19"/>
  <c r="C23" i="19"/>
  <c r="C19" i="19"/>
  <c r="C18" i="19"/>
  <c r="C17" i="19"/>
  <c r="C16" i="19"/>
  <c r="C8" i="19"/>
  <c r="C6" i="19"/>
  <c r="C4" i="19"/>
  <c r="B18" i="18"/>
  <c r="C13" i="18"/>
  <c r="D11" i="18"/>
  <c r="D13" i="18"/>
  <c r="E11" i="18"/>
  <c r="E13" i="18"/>
  <c r="F11" i="18"/>
  <c r="F13" i="18"/>
  <c r="C18" i="18"/>
  <c r="C14" i="18"/>
  <c r="D14" i="18"/>
  <c r="E14" i="18"/>
  <c r="F14" i="18"/>
  <c r="D15" i="18"/>
  <c r="E15" i="18"/>
  <c r="F15" i="18"/>
  <c r="C20" i="18"/>
  <c r="C19" i="18"/>
  <c r="D5" i="11"/>
  <c r="D19" i="11"/>
  <c r="D32" i="11"/>
  <c r="D45" i="11"/>
  <c r="D58" i="11"/>
  <c r="D71" i="11"/>
  <c r="D84" i="11"/>
  <c r="D97" i="11"/>
  <c r="D110" i="11"/>
  <c r="D123" i="11"/>
  <c r="D19" i="7"/>
  <c r="D32" i="7"/>
  <c r="D45" i="7"/>
  <c r="D58" i="7"/>
  <c r="D71" i="7"/>
  <c r="D84" i="7"/>
  <c r="D97" i="7"/>
  <c r="D110" i="7"/>
  <c r="D123" i="7"/>
  <c r="D5" i="7"/>
  <c r="K7" i="10"/>
  <c r="E17" i="9"/>
  <c r="C17" i="9"/>
  <c r="B20" i="18"/>
  <c r="B19" i="18"/>
  <c r="B11" i="18"/>
  <c r="D17" i="17"/>
  <c r="E17" i="17"/>
  <c r="F17" i="17"/>
  <c r="D29" i="17"/>
  <c r="E29" i="17"/>
  <c r="F29" i="17"/>
  <c r="H28" i="17"/>
  <c r="H27" i="17"/>
  <c r="H26" i="17"/>
  <c r="H25" i="17"/>
  <c r="H24" i="17"/>
  <c r="H23" i="17"/>
  <c r="H22" i="17"/>
  <c r="H21" i="17"/>
  <c r="H20" i="17"/>
  <c r="H19" i="17"/>
  <c r="H29" i="17"/>
  <c r="H7" i="17"/>
  <c r="H8" i="17"/>
  <c r="H9" i="17"/>
  <c r="H10" i="17"/>
  <c r="H11" i="17"/>
  <c r="H12" i="17"/>
  <c r="H13" i="17"/>
  <c r="H14" i="17"/>
  <c r="H15" i="17"/>
  <c r="H16" i="17"/>
  <c r="H17" i="17"/>
  <c r="C37" i="17"/>
  <c r="C36" i="17"/>
  <c r="C35" i="17"/>
  <c r="C34" i="17"/>
  <c r="C33" i="17"/>
  <c r="C32" i="17"/>
  <c r="C31" i="17"/>
  <c r="C28" i="17"/>
  <c r="C27" i="17"/>
  <c r="C26" i="17"/>
  <c r="C25" i="17"/>
  <c r="C24" i="17"/>
  <c r="C23" i="17"/>
  <c r="C22" i="17"/>
  <c r="C21" i="17"/>
  <c r="C20" i="17"/>
  <c r="C19" i="17"/>
  <c r="C7" i="17"/>
  <c r="C8" i="17"/>
  <c r="C9" i="17"/>
  <c r="C10" i="17"/>
  <c r="C11" i="17"/>
  <c r="C12" i="17"/>
  <c r="C13" i="17"/>
  <c r="C14" i="17"/>
  <c r="C15" i="17"/>
  <c r="C16" i="17"/>
  <c r="H70" i="13"/>
  <c r="C70" i="13"/>
  <c r="C36" i="13"/>
  <c r="G74" i="13"/>
  <c r="G75" i="13"/>
  <c r="G76" i="13"/>
  <c r="G77" i="13"/>
  <c r="G78" i="13"/>
  <c r="G79" i="13"/>
  <c r="G80" i="13"/>
  <c r="G81" i="13"/>
  <c r="G82" i="13"/>
  <c r="H36" i="13"/>
  <c r="H19" i="13"/>
  <c r="C53" i="13"/>
  <c r="G40" i="13"/>
  <c r="G41" i="13"/>
  <c r="G42" i="13"/>
  <c r="G43" i="13"/>
  <c r="G44" i="13"/>
  <c r="G45" i="13"/>
  <c r="G46" i="13"/>
  <c r="G47" i="13"/>
  <c r="G48" i="13"/>
  <c r="G23" i="13"/>
  <c r="G24" i="13"/>
  <c r="G25" i="13"/>
  <c r="G26" i="13"/>
  <c r="G27" i="13"/>
  <c r="G28" i="13"/>
  <c r="G29" i="13"/>
  <c r="G30" i="13"/>
  <c r="G31" i="13"/>
  <c r="C19" i="13"/>
  <c r="E6" i="9"/>
  <c r="B6" i="13"/>
  <c r="C6" i="13"/>
  <c r="D6" i="13"/>
  <c r="F6" i="13"/>
  <c r="B7" i="13"/>
  <c r="C7" i="13"/>
  <c r="D7" i="13"/>
  <c r="F7" i="13"/>
  <c r="B8" i="13"/>
  <c r="C8" i="13"/>
  <c r="D8" i="13"/>
  <c r="F8" i="13"/>
  <c r="B9" i="13"/>
  <c r="C9" i="13"/>
  <c r="D9" i="13"/>
  <c r="F9" i="13"/>
  <c r="B10" i="13"/>
  <c r="C10" i="13"/>
  <c r="D10" i="13"/>
  <c r="F10" i="13"/>
  <c r="B11" i="13"/>
  <c r="C11" i="13"/>
  <c r="D11" i="13"/>
  <c r="F11" i="13"/>
  <c r="B12" i="13"/>
  <c r="C12" i="13"/>
  <c r="D12" i="13"/>
  <c r="F12" i="13"/>
  <c r="B13" i="13"/>
  <c r="C13" i="13"/>
  <c r="D13" i="13"/>
  <c r="F13" i="13"/>
  <c r="B14" i="13"/>
  <c r="C14" i="13"/>
  <c r="D14" i="13"/>
  <c r="F14" i="13"/>
  <c r="C5" i="13"/>
  <c r="D5" i="13"/>
  <c r="D15" i="13"/>
  <c r="E15" i="13"/>
  <c r="F15" i="13"/>
  <c r="F5" i="13"/>
  <c r="D4" i="13"/>
  <c r="V4" i="11"/>
  <c r="U4" i="11"/>
  <c r="T4" i="11"/>
  <c r="V4" i="7"/>
  <c r="U4" i="7"/>
  <c r="T4" i="7"/>
  <c r="K8" i="10"/>
  <c r="L8" i="10"/>
  <c r="L7" i="10"/>
  <c r="D312" i="10"/>
  <c r="E312" i="10"/>
  <c r="H312" i="10"/>
  <c r="F312" i="10"/>
  <c r="K16" i="10"/>
  <c r="L16" i="10"/>
  <c r="K15" i="10"/>
  <c r="L15" i="10"/>
  <c r="K14" i="10"/>
  <c r="L14" i="10"/>
  <c r="K13" i="10"/>
  <c r="L13" i="10"/>
  <c r="K12" i="10"/>
  <c r="L12" i="10"/>
  <c r="K11" i="10"/>
  <c r="L11" i="10"/>
  <c r="K10" i="10"/>
  <c r="L10" i="10"/>
  <c r="K9" i="10"/>
  <c r="L9" i="10"/>
  <c r="D17" i="9"/>
  <c r="V39" i="18"/>
  <c r="AG39" i="18"/>
  <c r="AO39" i="18"/>
  <c r="X39" i="18"/>
  <c r="AO40" i="18"/>
  <c r="X40" i="18"/>
  <c r="AG40" i="18"/>
  <c r="V40" i="18"/>
  <c r="V41" i="18"/>
  <c r="AM41" i="18"/>
  <c r="AE41" i="18"/>
  <c r="W34" i="18"/>
  <c r="AF41" i="18"/>
  <c r="AG34" i="18"/>
  <c r="AG41" i="18"/>
  <c r="AN41" i="18"/>
  <c r="AO34" i="18"/>
  <c r="AO41" i="18"/>
  <c r="W41" i="18"/>
  <c r="X34" i="18"/>
  <c r="X41" i="18"/>
</calcChain>
</file>

<file path=xl/comments1.xml><?xml version="1.0" encoding="utf-8"?>
<comments xmlns="http://schemas.openxmlformats.org/spreadsheetml/2006/main">
  <authors>
    <author>Microsoft Office User</author>
  </authors>
  <commentList>
    <comment ref="V3" authorId="0" shapeId="0">
      <text>
        <r>
          <rPr>
            <b/>
            <sz val="10"/>
            <color indexed="81"/>
            <rFont val="Calibri"/>
          </rPr>
          <t xml:space="preserve">Please Note:
Benchmarks are indicative only and may not be relevant for your business.
To determine the right benchmarks for your company, please consider specific factors related to your business, such as:
- the complexity of your business structure
- The diversity of product industries served
- Integration of prior mergers and/or acquisitions
- Prior investments in technology
- Current business climate, etc, 
</t>
        </r>
      </text>
    </comment>
  </commentList>
</comments>
</file>

<file path=xl/sharedStrings.xml><?xml version="1.0" encoding="utf-8"?>
<sst xmlns="http://schemas.openxmlformats.org/spreadsheetml/2006/main" count="494" uniqueCount="195">
  <si>
    <t>Reduced Data Management Costs</t>
  </si>
  <si>
    <t>Reduced Credit Risk Costs</t>
  </si>
  <si>
    <t>Reduced Non-Compliance Risk  Costs</t>
  </si>
  <si>
    <t>Other Costs</t>
  </si>
  <si>
    <t>Conservative</t>
  </si>
  <si>
    <t>Pragmatic</t>
  </si>
  <si>
    <t>Aggressive</t>
  </si>
  <si>
    <t>Year 0</t>
  </si>
  <si>
    <t>Year 1</t>
  </si>
  <si>
    <t>Year 2</t>
  </si>
  <si>
    <t>Year 3</t>
  </si>
  <si>
    <t>Discount Rate</t>
  </si>
  <si>
    <t>C1</t>
  </si>
  <si>
    <t>C2</t>
  </si>
  <si>
    <t>C3</t>
  </si>
  <si>
    <t>C4</t>
  </si>
  <si>
    <t>C5</t>
  </si>
  <si>
    <t>C6</t>
  </si>
  <si>
    <t>C7</t>
  </si>
  <si>
    <t>C8</t>
  </si>
  <si>
    <t>C9</t>
  </si>
  <si>
    <t>C10</t>
  </si>
  <si>
    <t>P1</t>
  </si>
  <si>
    <t>P2</t>
  </si>
  <si>
    <t>P3</t>
  </si>
  <si>
    <t>P4</t>
  </si>
  <si>
    <t>P5</t>
  </si>
  <si>
    <t>P6</t>
  </si>
  <si>
    <t>P7</t>
  </si>
  <si>
    <t>P8</t>
  </si>
  <si>
    <t>P9</t>
  </si>
  <si>
    <t>P10</t>
  </si>
  <si>
    <t>subtotal</t>
  </si>
  <si>
    <t># of FTE</t>
  </si>
  <si>
    <t>Sections Completed</t>
  </si>
  <si>
    <t>Customer Process</t>
  </si>
  <si>
    <t>Product Process</t>
  </si>
  <si>
    <t>(%) of Total Time working on Process</t>
  </si>
  <si>
    <t>Annualized Cost per Process</t>
  </si>
  <si>
    <t>Pre MDM</t>
  </si>
  <si>
    <t>Other Non-MDM Impacted Work</t>
  </si>
  <si>
    <t>S1</t>
  </si>
  <si>
    <t>S2</t>
  </si>
  <si>
    <t>S3</t>
  </si>
  <si>
    <t>Expected ($) Revenue Benefit</t>
  </si>
  <si>
    <t>FTE post MDM</t>
  </si>
  <si>
    <t xml:space="preserve">Increase (+) / Decrease (-) in: </t>
  </si>
  <si>
    <t>% of Total Time post MDM</t>
  </si>
  <si>
    <t>Expected Revenue post MDM</t>
  </si>
  <si>
    <t>Expected Costs</t>
  </si>
  <si>
    <t>Implementation of New Software</t>
  </si>
  <si>
    <t>New Hardware/Infrastructure</t>
  </si>
  <si>
    <t>Training/Change Management</t>
  </si>
  <si>
    <t>Other (travel, administrative)</t>
  </si>
  <si>
    <t>X1</t>
  </si>
  <si>
    <t>X2</t>
  </si>
  <si>
    <t>X3</t>
  </si>
  <si>
    <t>X4</t>
  </si>
  <si>
    <t>X5</t>
  </si>
  <si>
    <t>X6</t>
  </si>
  <si>
    <t>X7</t>
  </si>
  <si>
    <t>Grand Total</t>
  </si>
  <si>
    <t>Annual Cost</t>
  </si>
  <si>
    <t>One Off Costs</t>
  </si>
  <si>
    <t>Direct Software Costs</t>
  </si>
  <si>
    <t>Indirect Software Costs</t>
  </si>
  <si>
    <t>Hardware/ Infrastructure Costs</t>
  </si>
  <si>
    <t>Total FTE Impacted by MDM (as per Section 1)</t>
  </si>
  <si>
    <t>Expected Increased Revenue post MDM</t>
  </si>
  <si>
    <t xml:space="preserve">Decrease Cost  (+) / Increase Cost (-) in: </t>
  </si>
  <si>
    <t xml:space="preserve">Increase Rev (+) / Decrease Rev (-) in: </t>
  </si>
  <si>
    <t xml:space="preserve">Source of Cash (+) /  Use of Cash (-) in: </t>
  </si>
  <si>
    <t>Subtotal</t>
  </si>
  <si>
    <t>Timesheet Cost Savings</t>
  </si>
  <si>
    <t>FTE Cost Savings</t>
  </si>
  <si>
    <t>Net Cash Benefit</t>
  </si>
  <si>
    <t>Net Cash Cost</t>
  </si>
  <si>
    <t>Total Implementaion Costs</t>
  </si>
  <si>
    <t>Fraction Cash Flow</t>
  </si>
  <si>
    <t>Total FTE in Scope</t>
  </si>
  <si>
    <t>Sales</t>
  </si>
  <si>
    <t>HR</t>
  </si>
  <si>
    <t>IT</t>
  </si>
  <si>
    <t>Finance</t>
  </si>
  <si>
    <t>Head Office</t>
  </si>
  <si>
    <t>% Impacted by MDM</t>
  </si>
  <si>
    <t>Scenario Titles</t>
  </si>
  <si>
    <t>Legend</t>
  </si>
  <si>
    <t>Instructions by Section</t>
  </si>
  <si>
    <t>Test</t>
  </si>
  <si>
    <t>0. Control Panel</t>
  </si>
  <si>
    <t>The Control Panel is where you can input your primary control variables and values</t>
  </si>
  <si>
    <t>Average Cost per FTE</t>
  </si>
  <si>
    <t>These include:
- # of FTE
- # &amp; name of relevant business areas
- ave. annual cost per FTE
- ave. work hours per FTE
- Customer benefit areas from MDM
- Product benefit areas from MDM
- Expense assumptions from MDM implementation
- Scenario Titles</t>
  </si>
  <si>
    <t>1. FTE Allocation</t>
  </si>
  <si>
    <t>The FTE Allocation tab is your data input for how your FTE align to your chosen Customer &amp; Product MDM benefits</t>
  </si>
  <si>
    <t>The Customer Benefit Input is used to allocate your expected changes in FTE &amp; process time management</t>
  </si>
  <si>
    <t>The Product Benefit Input is used to allocate your expected changes in FTE &amp; process time management</t>
  </si>
  <si>
    <t>3. Product Benefit Input</t>
  </si>
  <si>
    <t>4. Implementation Costs</t>
  </si>
  <si>
    <t>The required cost fields are:</t>
  </si>
  <si>
    <t>5. Segmented Cash Impact</t>
  </si>
  <si>
    <t>The Segmented Cash Impact tab provides a summary view of the cash impact from your assumptions through tabs 1-4</t>
  </si>
  <si>
    <t>You can view results by the entire firm or individual business area and by different scenario</t>
  </si>
  <si>
    <t>The source of cash impact can be viewed through:</t>
  </si>
  <si>
    <t>The use of cash impact can be viewed through:</t>
  </si>
  <si>
    <t>User Input Required</t>
  </si>
  <si>
    <t>User Review</t>
  </si>
  <si>
    <t>6.MDM ROI &amp; NPV</t>
  </si>
  <si>
    <t xml:space="preserve">Financial analysis is conducted incl: </t>
  </si>
  <si>
    <t>Cumalative Cash Flow</t>
  </si>
  <si>
    <t>Increased Cross-Sell / Up-Sell</t>
  </si>
  <si>
    <t>Call Center Efficiency</t>
  </si>
  <si>
    <t>Increased Customer Retention</t>
  </si>
  <si>
    <t>Reduced Sales Order Errors</t>
  </si>
  <si>
    <t>Reduced Sales Cycle Time</t>
  </si>
  <si>
    <t>Improved Marketing Response Rate</t>
  </si>
  <si>
    <t>Reduced Marketing Costs</t>
  </si>
  <si>
    <t>Reduced Integration Costs</t>
  </si>
  <si>
    <t>Reduced Time to Take New Product to Market</t>
  </si>
  <si>
    <t>The direct and indirect costs of marketing your products will reduce with the implementation of MDM due to the decrease in required mailings and more tailored product offering</t>
  </si>
  <si>
    <t>With MDM, you will now have a Centralized function for the consolidation of all your product data.  That means the consolidation of multiple product systems &amp; teams into only one area.</t>
  </si>
  <si>
    <t>Through MDM, your Call Center's will experience increased efficiency, primarily through:
- Decreased time required per-call
- Reduced time to search for customer records / information 
- Reduced time required to understand customer background and history</t>
  </si>
  <si>
    <t>Reduced Report Generation Cost</t>
  </si>
  <si>
    <t>Application Licenses</t>
  </si>
  <si>
    <t>Annual Maintenance</t>
  </si>
  <si>
    <t>Removal of Existing Software</t>
  </si>
  <si>
    <t>If your business is spread across multiple locations, travel between business leaders and/or experienced MDM consultants may be required to implement your strategy.</t>
  </si>
  <si>
    <t>The below are suggested starting points for your MDM cost/benefit business analysis.  These can be changed and/or altered and new benefits can be added through the Control Panel tab.</t>
  </si>
  <si>
    <t>Through MDM, you can expect a reduced # of back end systems rejections.  This includes reductions in errors such as invalid customer, product, asset tags for an add-on orders, etc.</t>
  </si>
  <si>
    <t>When you know your customer better across your entire organization, you can tailor your marketing to identify your target audience more efficiently, therefore improving your marketing response rate.</t>
  </si>
  <si>
    <t>All Departments/Functions</t>
  </si>
  <si>
    <t>2. Customer Benefit Input</t>
  </si>
  <si>
    <t>It is dived by your selected scenario's, and has input space for:</t>
  </si>
  <si>
    <t>The Implementation Costs tab is for inputting the expected annual &amp; one-off costs associated with your MDM program</t>
  </si>
  <si>
    <t xml:space="preserve">The MDM ROI &amp; NPV tab is the final review tab which incorporates all data inputted from tabs 1-4 and displays high level scenario analysis </t>
  </si>
  <si>
    <t>Departments/Functions</t>
  </si>
  <si>
    <t>Average Hrs. Per Day</t>
  </si>
  <si>
    <t>Through MDM, you will reduce the amount of manual time &amp; processing power required to:
1 -Enter the master product data
2- Validate master product data 
3 - Analyze master product data
It should be noted that while it will reduce the number of FTE &amp; hours required to complete the above tasks, you may need to invest in more IT / Business Management Staff</t>
  </si>
  <si>
    <t xml:space="preserve">Through MDM, you will have a simplfied data infrastructure and improved aggregate view of your key business data and processes.  This will in turn provide a stronger central defense for managing your regulatory compliance.  </t>
  </si>
  <si>
    <t>Training and strategic plans will be required to implement your MDM across your entire organization.</t>
  </si>
  <si>
    <t>The cost of new hardware and infrastructure required for all business units to be able to access your MDM systems.</t>
  </si>
  <si>
    <t>Cost associated with the direct instalment &amp; implementation of new software.</t>
  </si>
  <si>
    <t>Costs associated with the removal or termination of multiple legacy systems.</t>
  </si>
  <si>
    <t>The cost of regular IT &amp; business support for managing the infrastructure &amp; operations of your MDM software.</t>
  </si>
  <si>
    <t>The license fee's required for new software required to implement MDM.</t>
  </si>
  <si>
    <t>A single view of your product data across your organizations business units will reduce your businesses aggregate risk exposure.</t>
  </si>
  <si>
    <t>Through MDM, there will be a reduction in duplicate processes leading to decreased integration costs.</t>
  </si>
  <si>
    <t>Golden-Source financial data and analysis will reduce the FTE and amount of time required to produce valuable and timely MI.</t>
  </si>
  <si>
    <t>Through MDM, customer data will be accurate and readily accessible to all parts of your organization, therefore increasing CRM adoption and reducing the amount of time your employee's spend duplicating information.</t>
  </si>
  <si>
    <t>Through MDM you will gain a better knowledge of your customers profile, accounts, and interactions to leverage bundling opportunities.</t>
  </si>
  <si>
    <t>Increased understanding of your customer will help you to better identify their needs and help solve for their needs in a unform fashion leading to  higher satisfaction and increased retention.</t>
  </si>
  <si>
    <t>Economies of Scale (M&amp;A)</t>
  </si>
  <si>
    <t>In an M&amp;A transaction, MDM can increase economies of scale and thus shorten the timeframe for customer, desktop, and billing integrations when migrating new customers across different organizations.</t>
  </si>
  <si>
    <t>MDM Business Case Model</t>
  </si>
  <si>
    <t>© 2017 All rights reserved - Triniti.com</t>
  </si>
  <si>
    <t>Definitions</t>
  </si>
  <si>
    <t>Control Panel</t>
  </si>
  <si>
    <t>FTE Allocations</t>
  </si>
  <si>
    <t>Customer Benefit Input</t>
  </si>
  <si>
    <t>Product Benefit Input</t>
  </si>
  <si>
    <t>Implementation Costs</t>
  </si>
  <si>
    <t>Segmented Cash Impact</t>
  </si>
  <si>
    <t>MDM ROI &amp; NPV Analysis</t>
  </si>
  <si>
    <t>ROI &amp; NPV Analysis</t>
  </si>
  <si>
    <t>Product A</t>
  </si>
  <si>
    <t>Product B</t>
  </si>
  <si>
    <t>R&amp;D</t>
  </si>
  <si>
    <t>enter as a (-)</t>
  </si>
  <si>
    <t>Total Hours Saved Per Year</t>
  </si>
  <si>
    <t>source of cash (+) / use of cash (-)</t>
  </si>
  <si>
    <t>SI Cost</t>
  </si>
  <si>
    <t>X8</t>
  </si>
  <si>
    <t>SI Costs</t>
  </si>
  <si>
    <t xml:space="preserve">Product Benefit Realization </t>
  </si>
  <si>
    <t xml:space="preserve">Customer Benefit Realization </t>
  </si>
  <si>
    <t>as a % of total cash benefit</t>
  </si>
  <si>
    <t>as % of total cash cost</t>
  </si>
  <si>
    <t>Annual Cost of Deparment</t>
  </si>
  <si>
    <t>as a % of total staff costs</t>
  </si>
  <si>
    <t>Manufacturing</t>
  </si>
  <si>
    <t>Technology</t>
  </si>
  <si>
    <t>Retail</t>
  </si>
  <si>
    <t>Financial Institution</t>
  </si>
  <si>
    <t>Healthcare</t>
  </si>
  <si>
    <t>as a % of annual staff costs</t>
  </si>
  <si>
    <t>Sector Benchmarks</t>
  </si>
  <si>
    <t>Net FTE Reduction (#)</t>
  </si>
  <si>
    <t>Net FTE Reduction (%)</t>
  </si>
  <si>
    <t>Annual Net Cash Flow</t>
  </si>
  <si>
    <t>Total MDM Benefit Impact</t>
  </si>
  <si>
    <t>Total MDM Cost Impact</t>
  </si>
  <si>
    <t>Total MDM Customer Benefit</t>
  </si>
  <si>
    <t>Total MDM Product Benefit</t>
  </si>
  <si>
    <t>Annual Cost per Impacted FTE ($) - Enter as 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</si>
</sst>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 #,##0.00_-;_-* &quot;-&quot;??_-;_-@_-"/>
    <numFmt numFmtId="165" formatCode="_-* #,##0_-;\-* #,##0_-;_-* &quot;-&quot;??_-;_-@_-"/>
    <numFmt numFmtId="166" formatCode="0%;[Red]\(0%\);&quot;-&quot;"/>
    <numFmt numFmtId="167" formatCode="#,##0.0;[Red]\(#,##0.0\);&quot;-&quot;"/>
    <numFmt numFmtId="168" formatCode="#,##0;[Red]\(#,##0\);&quot;-&quot;"/>
    <numFmt numFmtId="169" formatCode="0.0%;[Red]\(0.0%\);&quot;-&quot;"/>
  </numFmts>
  <fonts count="43" x14ac:knownFonts="1">
    <font>
      <sz val="12"/>
      <color theme="1"/>
      <name val="Calibri"/>
      <family val="2"/>
      <scheme val="minor"/>
    </font>
    <font>
      <sz val="12"/>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2"/>
      <color rgb="FF0432FF"/>
      <name val="Calibri"/>
      <family val="2"/>
      <scheme val="minor"/>
    </font>
    <font>
      <i/>
      <sz val="12"/>
      <color theme="1"/>
      <name val="Calibri"/>
      <scheme val="minor"/>
    </font>
    <font>
      <sz val="12"/>
      <color rgb="FF000000"/>
      <name val="Verdana"/>
    </font>
    <font>
      <i/>
      <sz val="10"/>
      <color rgb="FF555555"/>
      <name val="Arial"/>
    </font>
    <font>
      <sz val="12"/>
      <color rgb="FF0000FF"/>
      <name val="Calibri"/>
      <family val="2"/>
      <scheme val="minor"/>
    </font>
    <font>
      <b/>
      <sz val="12"/>
      <color rgb="FF0000FF"/>
      <name val="Calibri"/>
      <family val="2"/>
      <scheme val="minor"/>
    </font>
    <font>
      <i/>
      <sz val="11"/>
      <color theme="1"/>
      <name val="Calibri"/>
      <scheme val="minor"/>
    </font>
    <font>
      <b/>
      <sz val="12"/>
      <color theme="1" tint="0.34998626667073579"/>
      <name val="Calibri"/>
      <scheme val="minor"/>
    </font>
    <font>
      <i/>
      <sz val="11"/>
      <color theme="1" tint="0.499984740745262"/>
      <name val="Calibri"/>
      <scheme val="minor"/>
    </font>
    <font>
      <b/>
      <sz val="12"/>
      <color theme="4" tint="-0.249977111117893"/>
      <name val="Calibri"/>
      <family val="2"/>
      <scheme val="minor"/>
    </font>
    <font>
      <b/>
      <sz val="12"/>
      <color rgb="FF0432FF"/>
      <name val="Calibri"/>
      <scheme val="minor"/>
    </font>
    <font>
      <sz val="12"/>
      <color rgb="FF00B050"/>
      <name val="Calibri"/>
      <family val="2"/>
      <scheme val="minor"/>
    </font>
    <font>
      <sz val="12"/>
      <color theme="7" tint="-0.249977111117893"/>
      <name val="Calibri"/>
      <family val="2"/>
      <scheme val="minor"/>
    </font>
    <font>
      <sz val="12"/>
      <color rgb="FFFF7E79"/>
      <name val="Calibri"/>
      <family val="2"/>
      <scheme val="minor"/>
    </font>
    <font>
      <i/>
      <sz val="11"/>
      <color theme="1" tint="0.34998626667073579"/>
      <name val="Calibri"/>
      <scheme val="minor"/>
    </font>
    <font>
      <sz val="12"/>
      <color theme="1" tint="0.34998626667073579"/>
      <name val="Calibri"/>
      <family val="2"/>
      <scheme val="minor"/>
    </font>
    <font>
      <b/>
      <sz val="12"/>
      <color rgb="FF00B050"/>
      <name val="Calibri"/>
      <scheme val="minor"/>
    </font>
    <font>
      <b/>
      <sz val="12"/>
      <color theme="7" tint="-0.249977111117893"/>
      <name val="Calibri"/>
      <scheme val="minor"/>
    </font>
    <font>
      <b/>
      <sz val="16"/>
      <color theme="1"/>
      <name val="Calibri"/>
      <family val="2"/>
      <scheme val="minor"/>
    </font>
    <font>
      <sz val="12"/>
      <color theme="0"/>
      <name val="Calibri"/>
      <family val="2"/>
      <scheme val="minor"/>
    </font>
    <font>
      <sz val="8"/>
      <name val="Calibri"/>
      <family val="2"/>
      <scheme val="minor"/>
    </font>
    <font>
      <b/>
      <sz val="14"/>
      <color theme="1"/>
      <name val="Calibri"/>
      <family val="2"/>
      <scheme val="minor"/>
    </font>
    <font>
      <b/>
      <sz val="12"/>
      <color rgb="FFC00000"/>
      <name val="Calibri"/>
      <scheme val="minor"/>
    </font>
    <font>
      <b/>
      <sz val="18"/>
      <color theme="1"/>
      <name val="Calibri"/>
      <family val="2"/>
      <scheme val="minor"/>
    </font>
    <font>
      <b/>
      <i/>
      <sz val="12"/>
      <color theme="1"/>
      <name val="Calibri"/>
      <scheme val="minor"/>
    </font>
    <font>
      <i/>
      <sz val="12"/>
      <color rgb="FFC00000"/>
      <name val="Calibri"/>
      <scheme val="minor"/>
    </font>
    <font>
      <i/>
      <sz val="12"/>
      <color rgb="FF00B050"/>
      <name val="Calibri"/>
      <scheme val="minor"/>
    </font>
    <font>
      <sz val="12"/>
      <color rgb="FF333333"/>
      <name val="Arial"/>
    </font>
    <font>
      <b/>
      <sz val="18"/>
      <color theme="4" tint="-0.249977111117893"/>
      <name val="Arial"/>
    </font>
    <font>
      <b/>
      <sz val="22"/>
      <color theme="1"/>
      <name val="Calibri"/>
      <scheme val="minor"/>
    </font>
    <font>
      <i/>
      <sz val="11"/>
      <color rgb="FF0432FF"/>
      <name val="Calibri"/>
      <scheme val="minor"/>
    </font>
    <font>
      <b/>
      <i/>
      <sz val="11"/>
      <color rgb="FF00B050"/>
      <name val="Calibri"/>
      <scheme val="minor"/>
    </font>
    <font>
      <b/>
      <i/>
      <sz val="11"/>
      <color theme="7" tint="-0.249977111117893"/>
      <name val="Calibri"/>
      <scheme val="minor"/>
    </font>
    <font>
      <b/>
      <i/>
      <sz val="11"/>
      <color rgb="FFC00000"/>
      <name val="Calibri"/>
      <scheme val="minor"/>
    </font>
    <font>
      <b/>
      <i/>
      <sz val="11"/>
      <color theme="1"/>
      <name val="Calibri"/>
      <scheme val="minor"/>
    </font>
    <font>
      <b/>
      <sz val="10"/>
      <color indexed="81"/>
      <name val="Calibri"/>
    </font>
    <font>
      <i/>
      <sz val="10"/>
      <color theme="1"/>
      <name val="Calibri"/>
      <scheme val="minor"/>
    </font>
    <font>
      <i/>
      <sz val="11"/>
      <color theme="0"/>
      <name val="Calibri"/>
      <scheme val="minor"/>
    </font>
  </fonts>
  <fills count="9">
    <fill>
      <patternFill patternType="none"/>
    </fill>
    <fill>
      <patternFill patternType="gray125"/>
    </fill>
    <fill>
      <patternFill patternType="solid">
        <fgColor theme="5" tint="0.7999816888943144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EDF8E5"/>
        <bgColor indexed="64"/>
      </patternFill>
    </fill>
  </fills>
  <borders count="40">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thin">
        <color auto="1"/>
      </top>
      <bottom style="double">
        <color auto="1"/>
      </bottom>
      <diagonal/>
    </border>
    <border>
      <left/>
      <right/>
      <top style="thin">
        <color auto="1"/>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right/>
      <top style="thin">
        <color theme="1"/>
      </top>
      <bottom style="double">
        <color theme="1"/>
      </bottom>
      <diagonal/>
    </border>
    <border>
      <left/>
      <right/>
      <top/>
      <bottom style="thin">
        <color theme="1"/>
      </bottom>
      <diagonal/>
    </border>
    <border>
      <left/>
      <right/>
      <top style="thin">
        <color theme="1"/>
      </top>
      <bottom style="hair">
        <color theme="1"/>
      </bottom>
      <diagonal/>
    </border>
    <border>
      <left/>
      <right/>
      <top style="hair">
        <color theme="1"/>
      </top>
      <bottom style="thin">
        <color theme="1"/>
      </bottom>
      <diagonal/>
    </border>
    <border>
      <left style="medium">
        <color theme="1"/>
      </left>
      <right style="medium">
        <color theme="1"/>
      </right>
      <top style="medium">
        <color theme="1"/>
      </top>
      <bottom style="hair">
        <color theme="1"/>
      </bottom>
      <diagonal/>
    </border>
    <border>
      <left style="medium">
        <color theme="1"/>
      </left>
      <right style="medium">
        <color theme="1"/>
      </right>
      <top style="hair">
        <color theme="1"/>
      </top>
      <bottom style="hair">
        <color theme="1"/>
      </bottom>
      <diagonal/>
    </border>
    <border>
      <left style="medium">
        <color theme="1"/>
      </left>
      <right style="medium">
        <color theme="1"/>
      </right>
      <top style="hair">
        <color theme="1"/>
      </top>
      <bottom style="medium">
        <color theme="1"/>
      </bottom>
      <diagonal/>
    </border>
    <border>
      <left style="medium">
        <color theme="1"/>
      </left>
      <right style="medium">
        <color theme="1"/>
      </right>
      <top style="medium">
        <color theme="1"/>
      </top>
      <bottom style="hair">
        <color auto="1"/>
      </bottom>
      <diagonal/>
    </border>
    <border>
      <left style="medium">
        <color theme="1"/>
      </left>
      <right style="medium">
        <color theme="1"/>
      </right>
      <top style="hair">
        <color auto="1"/>
      </top>
      <bottom style="medium">
        <color theme="1"/>
      </bottom>
      <diagonal/>
    </border>
    <border>
      <left/>
      <right/>
      <top style="hair">
        <color theme="1"/>
      </top>
      <bottom style="hair">
        <color theme="1"/>
      </bottom>
      <diagonal/>
    </border>
    <border>
      <left/>
      <right/>
      <top style="hair">
        <color theme="1"/>
      </top>
      <bottom/>
      <diagonal/>
    </border>
    <border>
      <left/>
      <right/>
      <top/>
      <bottom style="hair">
        <color theme="1"/>
      </bottom>
      <diagonal/>
    </border>
    <border>
      <left style="thin">
        <color theme="1"/>
      </left>
      <right/>
      <top/>
      <bottom style="thin">
        <color theme="1"/>
      </bottom>
      <diagonal/>
    </border>
    <border>
      <left/>
      <right/>
      <top/>
      <bottom style="double">
        <color auto="1"/>
      </bottom>
      <diagonal/>
    </border>
    <border>
      <left/>
      <right/>
      <top style="thin">
        <color auto="1"/>
      </top>
      <bottom style="medium">
        <color auto="1"/>
      </bottom>
      <diagonal/>
    </border>
    <border>
      <left/>
      <right/>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thin">
        <color auto="1"/>
      </bottom>
      <diagonal/>
    </border>
    <border>
      <left style="medium">
        <color auto="1"/>
      </left>
      <right style="medium">
        <color auto="1"/>
      </right>
      <top style="hair">
        <color auto="1"/>
      </top>
      <bottom style="hair">
        <color auto="1"/>
      </bottom>
      <diagonal/>
    </border>
  </borders>
  <cellStyleXfs count="3">
    <xf numFmtId="0" fontId="0" fillId="0" borderId="0"/>
    <xf numFmtId="164" fontId="2" fillId="0" borderId="0" applyFont="0" applyFill="0" applyBorder="0" applyAlignment="0" applyProtection="0"/>
    <xf numFmtId="9" fontId="2" fillId="0" borderId="0" applyFont="0" applyFill="0" applyBorder="0" applyAlignment="0" applyProtection="0"/>
  </cellStyleXfs>
  <cellXfs count="333">
    <xf numFmtId="0" fontId="0" fillId="0" borderId="0" xfId="0"/>
    <xf numFmtId="0" fontId="0" fillId="0" borderId="0" xfId="0" applyAlignment="1">
      <alignment horizontal="center" vertical="center"/>
    </xf>
    <xf numFmtId="0" fontId="0" fillId="0" borderId="0" xfId="0" applyBorder="1" applyAlignment="1">
      <alignment horizontal="center" vertical="center"/>
    </xf>
    <xf numFmtId="0" fontId="6" fillId="0" borderId="0" xfId="0" applyFont="1"/>
    <xf numFmtId="0" fontId="6"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4" fillId="0" borderId="0" xfId="0" applyFont="1" applyBorder="1" applyAlignment="1">
      <alignment horizontal="center" vertical="center"/>
    </xf>
    <xf numFmtId="0" fontId="0" fillId="0" borderId="0" xfId="0" applyAlignment="1">
      <alignment horizontal="center" vertical="center" wrapText="1"/>
    </xf>
    <xf numFmtId="0" fontId="8" fillId="0" borderId="0" xfId="0" applyFont="1" applyAlignment="1">
      <alignment horizontal="center" vertical="center"/>
    </xf>
    <xf numFmtId="0" fontId="9" fillId="0" borderId="0" xfId="0" applyFont="1" applyFill="1"/>
    <xf numFmtId="0" fontId="3" fillId="3" borderId="0" xfId="0" applyFont="1" applyFill="1" applyAlignment="1">
      <alignment horizontal="center" vertical="center"/>
    </xf>
    <xf numFmtId="0" fontId="0" fillId="0" borderId="0" xfId="0" applyAlignment="1">
      <alignment horizontal="left" vertical="center"/>
    </xf>
    <xf numFmtId="0" fontId="20"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6" fillId="0" borderId="0" xfId="0" applyFont="1" applyBorder="1" applyAlignment="1">
      <alignment horizontal="center" vertical="center"/>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4" fillId="0" borderId="0" xfId="0" applyFont="1" applyBorder="1" applyAlignment="1">
      <alignment horizontal="center" vertical="center" wrapText="1"/>
    </xf>
    <xf numFmtId="0" fontId="0" fillId="0" borderId="18" xfId="0" applyBorder="1"/>
    <xf numFmtId="0" fontId="0" fillId="0" borderId="18" xfId="0" applyBorder="1" applyAlignment="1">
      <alignment horizontal="center" vertical="center"/>
    </xf>
    <xf numFmtId="167" fontId="1" fillId="0" borderId="9" xfId="1" applyNumberFormat="1"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xf numFmtId="0" fontId="4" fillId="0" borderId="18" xfId="0" applyFont="1" applyBorder="1" applyAlignment="1">
      <alignment horizontal="center" vertical="center"/>
    </xf>
    <xf numFmtId="167" fontId="1" fillId="0" borderId="18" xfId="1" applyNumberFormat="1" applyFont="1" applyFill="1" applyBorder="1" applyAlignment="1">
      <alignment horizontal="center" vertical="center"/>
    </xf>
    <xf numFmtId="0" fontId="1" fillId="0" borderId="18" xfId="0" applyFont="1" applyFill="1" applyBorder="1" applyAlignment="1">
      <alignment horizontal="center" vertical="center"/>
    </xf>
    <xf numFmtId="0" fontId="23" fillId="0" borderId="8" xfId="0" applyFont="1" applyFill="1" applyBorder="1" applyAlignment="1">
      <alignment horizontal="center" vertical="center"/>
    </xf>
    <xf numFmtId="0" fontId="21" fillId="0" borderId="8" xfId="0" applyFont="1" applyBorder="1" applyAlignment="1">
      <alignment horizontal="center" vertical="center"/>
    </xf>
    <xf numFmtId="0" fontId="22" fillId="0" borderId="8" xfId="0" applyFont="1" applyBorder="1" applyAlignment="1">
      <alignment horizontal="center" vertical="center"/>
    </xf>
    <xf numFmtId="0" fontId="27" fillId="0" borderId="8" xfId="0" applyFont="1" applyBorder="1" applyAlignment="1">
      <alignment horizontal="center" vertical="center"/>
    </xf>
    <xf numFmtId="0" fontId="0" fillId="0" borderId="0" xfId="0" applyBorder="1"/>
    <xf numFmtId="0" fontId="0" fillId="0" borderId="0" xfId="0" applyProtection="1">
      <protection hidden="1"/>
    </xf>
    <xf numFmtId="0" fontId="28" fillId="0" borderId="8" xfId="0" applyFont="1" applyBorder="1" applyProtection="1">
      <protection hidden="1"/>
    </xf>
    <xf numFmtId="0" fontId="0" fillId="0" borderId="19" xfId="0" applyBorder="1" applyProtection="1">
      <protection hidden="1"/>
    </xf>
    <xf numFmtId="0" fontId="15" fillId="6" borderId="6" xfId="0" applyFont="1" applyFill="1" applyBorder="1" applyAlignment="1" applyProtection="1">
      <alignment horizontal="center" vertical="center"/>
      <protection hidden="1"/>
    </xf>
    <xf numFmtId="167" fontId="4" fillId="2" borderId="6" xfId="0" applyNumberFormat="1" applyFont="1" applyFill="1" applyBorder="1" applyAlignment="1" applyProtection="1">
      <alignment horizontal="center" vertical="center"/>
      <protection hidden="1"/>
    </xf>
    <xf numFmtId="167" fontId="14" fillId="4" borderId="6" xfId="0" applyNumberFormat="1" applyFont="1" applyFill="1" applyBorder="1" applyAlignment="1" applyProtection="1">
      <alignment horizontal="center" vertical="center"/>
      <protection hidden="1"/>
    </xf>
    <xf numFmtId="0" fontId="0" fillId="0" borderId="8" xfId="0" applyBorder="1" applyProtection="1">
      <protection hidden="1"/>
    </xf>
    <xf numFmtId="0" fontId="26" fillId="0" borderId="0" xfId="0" applyFont="1" applyProtection="1">
      <protection hidden="1"/>
    </xf>
    <xf numFmtId="0" fontId="30" fillId="0" borderId="0" xfId="0" applyFont="1" applyAlignment="1" applyProtection="1">
      <alignment horizontal="left" vertical="top"/>
      <protection hidden="1"/>
    </xf>
    <xf numFmtId="0" fontId="26" fillId="0" borderId="0" xfId="0" applyFont="1" applyAlignment="1" applyProtection="1">
      <alignment horizontal="left" vertical="center"/>
      <protection hidden="1"/>
    </xf>
    <xf numFmtId="0" fontId="29" fillId="0" borderId="0" xfId="0" applyFont="1" applyProtection="1">
      <protection hidden="1"/>
    </xf>
    <xf numFmtId="0" fontId="31" fillId="0" borderId="0" xfId="0" applyFont="1" applyAlignment="1" applyProtection="1">
      <alignment horizontal="left" vertical="top"/>
      <protection hidden="1"/>
    </xf>
    <xf numFmtId="0" fontId="0" fillId="0" borderId="31" xfId="0" applyBorder="1" applyProtection="1">
      <protection hidden="1"/>
    </xf>
    <xf numFmtId="0" fontId="34" fillId="0" borderId="32" xfId="0" applyFont="1" applyBorder="1" applyAlignment="1" applyProtection="1">
      <alignment horizontal="left" vertical="center"/>
      <protection hidden="1"/>
    </xf>
    <xf numFmtId="0" fontId="4" fillId="0" borderId="32" xfId="0" applyFont="1" applyBorder="1" applyAlignment="1" applyProtection="1">
      <alignment horizontal="left" vertical="center"/>
      <protection hidden="1"/>
    </xf>
    <xf numFmtId="0" fontId="0" fillId="0" borderId="33" xfId="0" applyBorder="1" applyAlignment="1" applyProtection="1">
      <alignment horizontal="left" vertical="center" wrapText="1"/>
      <protection hidden="1"/>
    </xf>
    <xf numFmtId="0" fontId="6" fillId="0" borderId="0" xfId="0" applyFont="1" applyAlignment="1" applyProtection="1">
      <alignment horizontal="center" vertical="center"/>
      <protection hidden="1"/>
    </xf>
    <xf numFmtId="0" fontId="4" fillId="0" borderId="0" xfId="0" applyFont="1" applyAlignment="1" applyProtection="1">
      <alignment horizontal="left" vertical="center"/>
      <protection hidden="1"/>
    </xf>
    <xf numFmtId="0" fontId="3" fillId="3" borderId="1" xfId="0" applyFont="1" applyFill="1" applyBorder="1" applyAlignment="1" applyProtection="1">
      <alignment horizontal="center" vertical="center"/>
      <protection hidden="1"/>
    </xf>
    <xf numFmtId="0" fontId="4" fillId="0" borderId="28" xfId="0" applyFont="1" applyFill="1" applyBorder="1" applyAlignment="1" applyProtection="1">
      <alignment horizontal="left" vertical="center"/>
      <protection hidden="1"/>
    </xf>
    <xf numFmtId="0" fontId="0" fillId="0" borderId="28" xfId="0" applyFont="1" applyFill="1" applyBorder="1" applyAlignment="1" applyProtection="1">
      <alignment horizontal="left" vertical="center" wrapText="1"/>
      <protection hidden="1"/>
    </xf>
    <xf numFmtId="0" fontId="3" fillId="3" borderId="2" xfId="0" applyFont="1" applyFill="1" applyBorder="1" applyAlignment="1" applyProtection="1">
      <alignment horizontal="center" vertical="center"/>
      <protection hidden="1"/>
    </xf>
    <xf numFmtId="0" fontId="3" fillId="3" borderId="0" xfId="0" applyFont="1" applyFill="1" applyBorder="1" applyAlignment="1" applyProtection="1">
      <alignment horizontal="center" vertical="center"/>
      <protection hidden="1"/>
    </xf>
    <xf numFmtId="0" fontId="3" fillId="3" borderId="3" xfId="0" applyFont="1" applyFill="1" applyBorder="1" applyAlignment="1" applyProtection="1">
      <alignment horizontal="center" vertical="center"/>
      <protection hidden="1"/>
    </xf>
    <xf numFmtId="0" fontId="4" fillId="0" borderId="20" xfId="0" applyFont="1" applyFill="1" applyBorder="1" applyAlignment="1" applyProtection="1">
      <alignment horizontal="left" vertical="center"/>
      <protection hidden="1"/>
    </xf>
    <xf numFmtId="0" fontId="4" fillId="0" borderId="27" xfId="0" applyFont="1" applyFill="1" applyBorder="1" applyAlignment="1" applyProtection="1">
      <alignment horizontal="left" vertical="center"/>
      <protection hidden="1"/>
    </xf>
    <xf numFmtId="0" fontId="6" fillId="0" borderId="31" xfId="0" applyFont="1" applyBorder="1" applyAlignment="1" applyProtection="1">
      <alignment horizontal="center" vertical="center"/>
      <protection hidden="1"/>
    </xf>
    <xf numFmtId="0" fontId="4" fillId="0" borderId="31" xfId="0" applyFont="1" applyBorder="1" applyAlignment="1" applyProtection="1">
      <alignment horizontal="left" vertical="center"/>
      <protection hidden="1"/>
    </xf>
    <xf numFmtId="0" fontId="0" fillId="0" borderId="31" xfId="0" applyBorder="1" applyAlignment="1" applyProtection="1">
      <alignment horizontal="left" vertical="center" wrapText="1"/>
      <protection hidden="1"/>
    </xf>
    <xf numFmtId="0" fontId="7" fillId="0" borderId="0" xfId="0" applyFont="1" applyProtection="1">
      <protection hidden="1"/>
    </xf>
    <xf numFmtId="0" fontId="0" fillId="0" borderId="32" xfId="0" applyBorder="1" applyProtection="1">
      <protection hidden="1"/>
    </xf>
    <xf numFmtId="0" fontId="0" fillId="0" borderId="33" xfId="0" applyBorder="1" applyProtection="1">
      <protection hidden="1"/>
    </xf>
    <xf numFmtId="0" fontId="0" fillId="0" borderId="33" xfId="0"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8" xfId="0" applyFont="1" applyBorder="1" applyAlignment="1" applyProtection="1">
      <alignment horizontal="right"/>
      <protection hidden="1"/>
    </xf>
    <xf numFmtId="0" fontId="0" fillId="0" borderId="0" xfId="0"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165" fontId="4" fillId="0" borderId="19" xfId="1" applyNumberFormat="1" applyFont="1" applyBorder="1" applyAlignment="1" applyProtection="1">
      <alignment horizontal="center" vertical="center" wrapText="1"/>
      <protection hidden="1"/>
    </xf>
    <xf numFmtId="0" fontId="0" fillId="0" borderId="0" xfId="0" applyAlignment="1" applyProtection="1">
      <alignment horizontal="center" vertical="center"/>
      <protection hidden="1"/>
    </xf>
    <xf numFmtId="168" fontId="0" fillId="5" borderId="20" xfId="0" applyNumberFormat="1" applyFill="1" applyBorder="1" applyAlignment="1" applyProtection="1">
      <alignment horizontal="center" vertical="center"/>
      <protection hidden="1"/>
    </xf>
    <xf numFmtId="168" fontId="0" fillId="5" borderId="27" xfId="0" applyNumberFormat="1" applyFill="1" applyBorder="1" applyAlignment="1" applyProtection="1">
      <alignment horizontal="center" vertical="center"/>
      <protection hidden="1"/>
    </xf>
    <xf numFmtId="168" fontId="0" fillId="5" borderId="21" xfId="0" applyNumberFormat="1" applyFill="1" applyBorder="1" applyAlignment="1" applyProtection="1">
      <alignment horizontal="center" vertical="center"/>
      <protection hidden="1"/>
    </xf>
    <xf numFmtId="0" fontId="4" fillId="0" borderId="18" xfId="0" applyFont="1" applyBorder="1" applyAlignment="1" applyProtection="1">
      <alignment horizontal="center" vertical="center"/>
      <protection hidden="1"/>
    </xf>
    <xf numFmtId="9" fontId="4" fillId="0" borderId="18" xfId="0" applyNumberFormat="1" applyFont="1" applyBorder="1" applyAlignment="1" applyProtection="1">
      <alignment horizontal="center" vertical="center"/>
      <protection hidden="1"/>
    </xf>
    <xf numFmtId="0" fontId="0" fillId="0" borderId="18" xfId="0" applyBorder="1" applyAlignment="1" applyProtection="1">
      <alignment horizontal="center" vertical="center"/>
      <protection hidden="1"/>
    </xf>
    <xf numFmtId="0" fontId="0" fillId="0" borderId="18" xfId="0" applyBorder="1" applyProtection="1">
      <protection hidden="1"/>
    </xf>
    <xf numFmtId="0" fontId="4" fillId="0" borderId="8" xfId="0" applyFont="1" applyBorder="1" applyAlignment="1" applyProtection="1">
      <alignment horizontal="center" vertical="center"/>
      <protection hidden="1"/>
    </xf>
    <xf numFmtId="0" fontId="0" fillId="0" borderId="20" xfId="0" applyFont="1" applyFill="1" applyBorder="1" applyProtection="1">
      <protection hidden="1"/>
    </xf>
    <xf numFmtId="0" fontId="0" fillId="0" borderId="27" xfId="0" applyFont="1" applyFill="1" applyBorder="1" applyProtection="1">
      <protection hidden="1"/>
    </xf>
    <xf numFmtId="0" fontId="0" fillId="0" borderId="28" xfId="0" applyFont="1" applyFill="1" applyBorder="1" applyProtection="1">
      <protection hidden="1"/>
    </xf>
    <xf numFmtId="0" fontId="4" fillId="0" borderId="31" xfId="0" applyFont="1" applyBorder="1" applyAlignment="1" applyProtection="1">
      <alignment horizontal="center" vertical="center"/>
      <protection hidden="1"/>
    </xf>
    <xf numFmtId="0" fontId="0" fillId="0" borderId="31" xfId="0" applyBorder="1" applyAlignment="1" applyProtection="1">
      <alignment horizontal="center" vertical="center"/>
      <protection hidden="1"/>
    </xf>
    <xf numFmtId="0" fontId="0" fillId="0" borderId="0" xfId="0" applyAlignment="1" applyProtection="1">
      <alignment horizontal="left" vertical="center" wrapText="1"/>
      <protection hidden="1"/>
    </xf>
    <xf numFmtId="0" fontId="30" fillId="0" borderId="0" xfId="0" applyFont="1" applyProtection="1">
      <protection hidden="1"/>
    </xf>
    <xf numFmtId="168" fontId="0" fillId="0" borderId="18" xfId="0" applyNumberFormat="1" applyBorder="1" applyProtection="1">
      <protection hidden="1"/>
    </xf>
    <xf numFmtId="0" fontId="4" fillId="0" borderId="0" xfId="0" applyFont="1" applyProtection="1">
      <protection hidden="1"/>
    </xf>
    <xf numFmtId="167" fontId="0" fillId="0" borderId="0" xfId="0" applyNumberFormat="1" applyProtection="1">
      <protection hidden="1"/>
    </xf>
    <xf numFmtId="0" fontId="11" fillId="0" borderId="0" xfId="0" applyFont="1" applyProtection="1">
      <protection hidden="1"/>
    </xf>
    <xf numFmtId="0" fontId="42" fillId="0" borderId="0" xfId="0" applyFont="1" applyProtection="1">
      <protection hidden="1"/>
    </xf>
    <xf numFmtId="0" fontId="24" fillId="0" borderId="0" xfId="0" applyFont="1" applyProtection="1">
      <protection hidden="1"/>
    </xf>
    <xf numFmtId="0" fontId="34" fillId="0" borderId="32" xfId="0" applyFont="1" applyBorder="1" applyProtection="1">
      <protection hidden="1"/>
    </xf>
    <xf numFmtId="0" fontId="26" fillId="0" borderId="8" xfId="0" applyFont="1" applyBorder="1" applyAlignment="1" applyProtection="1">
      <alignment horizontal="center" vertical="center" wrapText="1"/>
      <protection hidden="1"/>
    </xf>
    <xf numFmtId="0" fontId="0" fillId="0" borderId="19" xfId="0" applyBorder="1" applyAlignment="1" applyProtection="1">
      <alignment horizontal="center" vertical="center"/>
      <protection hidden="1"/>
    </xf>
    <xf numFmtId="0" fontId="11" fillId="0" borderId="19" xfId="0" applyFont="1" applyBorder="1" applyAlignment="1" applyProtection="1">
      <alignment horizontal="left" vertical="center"/>
      <protection hidden="1"/>
    </xf>
    <xf numFmtId="0" fontId="11" fillId="0" borderId="34" xfId="0" applyFont="1" applyBorder="1" applyProtection="1">
      <protection hidden="1"/>
    </xf>
    <xf numFmtId="0" fontId="0" fillId="0" borderId="0" xfId="0" applyFont="1" applyProtection="1">
      <protection hidden="1"/>
    </xf>
    <xf numFmtId="0" fontId="4" fillId="0" borderId="30" xfId="0" applyFont="1" applyBorder="1" applyAlignment="1" applyProtection="1">
      <alignment horizontal="center" vertical="center"/>
      <protection hidden="1"/>
    </xf>
    <xf numFmtId="0" fontId="4" fillId="0" borderId="19" xfId="0" applyFont="1" applyBorder="1" applyAlignment="1" applyProtection="1">
      <alignment horizontal="center" vertical="center"/>
      <protection hidden="1"/>
    </xf>
    <xf numFmtId="0" fontId="21" fillId="0" borderId="30" xfId="0" applyFont="1" applyBorder="1" applyAlignment="1" applyProtection="1">
      <alignment horizontal="center" vertical="center" wrapText="1"/>
      <protection hidden="1"/>
    </xf>
    <xf numFmtId="0" fontId="22" fillId="0" borderId="19" xfId="0" applyFont="1" applyBorder="1" applyAlignment="1" applyProtection="1">
      <alignment horizontal="center" vertical="center" wrapText="1"/>
      <protection hidden="1"/>
    </xf>
    <xf numFmtId="0" fontId="27" fillId="0" borderId="19" xfId="0" applyFont="1" applyBorder="1" applyAlignment="1" applyProtection="1">
      <alignment horizontal="center" vertical="center" wrapText="1"/>
      <protection hidden="1"/>
    </xf>
    <xf numFmtId="0" fontId="36" fillId="0" borderId="19" xfId="0" applyFont="1" applyBorder="1" applyAlignment="1" applyProtection="1">
      <alignment horizontal="center" vertical="center" wrapText="1"/>
      <protection hidden="1"/>
    </xf>
    <xf numFmtId="0" fontId="37" fillId="0" borderId="19" xfId="0" applyFont="1" applyBorder="1" applyAlignment="1" applyProtection="1">
      <alignment horizontal="center" vertical="center" wrapText="1"/>
      <protection hidden="1"/>
    </xf>
    <xf numFmtId="0" fontId="38" fillId="0" borderId="19" xfId="0" applyFont="1" applyBorder="1" applyAlignment="1" applyProtection="1">
      <alignment horizontal="center" vertical="center" wrapText="1"/>
      <protection hidden="1"/>
    </xf>
    <xf numFmtId="0" fontId="11" fillId="0" borderId="0" xfId="0" applyFont="1" applyAlignment="1" applyProtection="1">
      <alignment horizontal="right" vertical="center"/>
      <protection hidden="1"/>
    </xf>
    <xf numFmtId="167" fontId="0" fillId="0" borderId="1" xfId="0" applyNumberFormat="1" applyBorder="1" applyProtection="1">
      <protection hidden="1"/>
    </xf>
    <xf numFmtId="167" fontId="0" fillId="0" borderId="1" xfId="0" applyNumberFormat="1" applyBorder="1" applyAlignment="1" applyProtection="1">
      <alignment horizontal="center" vertical="center"/>
      <protection hidden="1"/>
    </xf>
    <xf numFmtId="169" fontId="11" fillId="0" borderId="1" xfId="2" applyNumberFormat="1" applyFont="1" applyBorder="1" applyAlignment="1" applyProtection="1">
      <alignment horizontal="center" vertical="center"/>
      <protection hidden="1"/>
    </xf>
    <xf numFmtId="169" fontId="11" fillId="8" borderId="1" xfId="2" applyNumberFormat="1" applyFont="1" applyFill="1" applyBorder="1" applyAlignment="1" applyProtection="1">
      <alignment horizontal="center" vertical="center"/>
      <protection hidden="1"/>
    </xf>
    <xf numFmtId="167" fontId="0" fillId="0" borderId="2" xfId="0" applyNumberFormat="1" applyBorder="1" applyProtection="1">
      <protection hidden="1"/>
    </xf>
    <xf numFmtId="167" fontId="0" fillId="0" borderId="2" xfId="0" applyNumberFormat="1" applyBorder="1" applyAlignment="1" applyProtection="1">
      <alignment horizontal="center" vertical="center"/>
      <protection hidden="1"/>
    </xf>
    <xf numFmtId="0" fontId="4" fillId="0" borderId="1"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4" fillId="0" borderId="3" xfId="0" applyFont="1" applyBorder="1" applyAlignment="1" applyProtection="1">
      <alignment horizontal="left" vertical="center"/>
      <protection hidden="1"/>
    </xf>
    <xf numFmtId="167" fontId="0" fillId="0" borderId="3" xfId="0" applyNumberFormat="1" applyBorder="1" applyAlignment="1" applyProtection="1">
      <alignment horizontal="center" vertical="center"/>
      <protection hidden="1"/>
    </xf>
    <xf numFmtId="167" fontId="0" fillId="0" borderId="0" xfId="0" applyNumberFormat="1" applyAlignment="1" applyProtection="1">
      <alignment horizontal="center" vertical="center"/>
      <protection hidden="1"/>
    </xf>
    <xf numFmtId="0" fontId="4" fillId="0" borderId="20" xfId="0" applyFont="1" applyBorder="1" applyAlignment="1" applyProtection="1">
      <alignment horizontal="left" vertical="center"/>
      <protection hidden="1"/>
    </xf>
    <xf numFmtId="167" fontId="0" fillId="0" borderId="20" xfId="0" applyNumberFormat="1" applyBorder="1" applyAlignment="1" applyProtection="1">
      <alignment horizontal="center" vertical="center"/>
      <protection hidden="1"/>
    </xf>
    <xf numFmtId="0" fontId="4" fillId="0" borderId="21" xfId="0" applyFont="1" applyBorder="1" applyAlignment="1" applyProtection="1">
      <alignment horizontal="left" vertical="center"/>
      <protection hidden="1"/>
    </xf>
    <xf numFmtId="167" fontId="0" fillId="0" borderId="21" xfId="0" applyNumberFormat="1" applyBorder="1" applyAlignment="1" applyProtection="1">
      <alignment horizontal="center" vertical="center"/>
      <protection hidden="1"/>
    </xf>
    <xf numFmtId="0" fontId="24" fillId="0" borderId="0" xfId="0" applyFont="1" applyAlignment="1" applyProtection="1">
      <alignment horizontal="left" vertical="center"/>
      <protection hidden="1"/>
    </xf>
    <xf numFmtId="0" fontId="24" fillId="0" borderId="0" xfId="0" applyFont="1" applyAlignment="1" applyProtection="1">
      <alignment horizontal="center" vertical="center"/>
      <protection hidden="1"/>
    </xf>
    <xf numFmtId="0" fontId="4" fillId="0" borderId="8" xfId="0" applyFont="1" applyBorder="1" applyAlignment="1" applyProtection="1">
      <alignment horizontal="left" vertical="center"/>
      <protection hidden="1"/>
    </xf>
    <xf numFmtId="167" fontId="0" fillId="0" borderId="3" xfId="0" applyNumberFormat="1" applyBorder="1" applyProtection="1">
      <protection hidden="1"/>
    </xf>
    <xf numFmtId="0" fontId="0" fillId="0" borderId="0" xfId="0" applyAlignment="1" applyProtection="1">
      <alignment horizontal="left"/>
      <protection hidden="1"/>
    </xf>
    <xf numFmtId="167" fontId="4" fillId="0" borderId="18" xfId="0" applyNumberFormat="1" applyFont="1" applyBorder="1" applyAlignment="1" applyProtection="1">
      <alignment horizontal="center" vertical="center"/>
      <protection hidden="1"/>
    </xf>
    <xf numFmtId="169" fontId="39" fillId="0" borderId="18" xfId="2" applyNumberFormat="1" applyFont="1" applyBorder="1" applyAlignment="1" applyProtection="1">
      <alignment horizontal="center" vertical="center"/>
      <protection hidden="1"/>
    </xf>
    <xf numFmtId="169" fontId="4" fillId="0" borderId="22" xfId="0" applyNumberFormat="1" applyFont="1" applyBorder="1" applyAlignment="1" applyProtection="1">
      <alignment horizontal="center" vertical="center"/>
      <protection hidden="1"/>
    </xf>
    <xf numFmtId="0" fontId="4" fillId="0" borderId="0" xfId="0" applyFont="1" applyAlignment="1" applyProtection="1">
      <alignment horizontal="right"/>
      <protection hidden="1"/>
    </xf>
    <xf numFmtId="167" fontId="4" fillId="0" borderId="25" xfId="0" applyNumberFormat="1" applyFont="1" applyBorder="1" applyAlignment="1" applyProtection="1">
      <alignment horizontal="center" vertical="center"/>
      <protection hidden="1"/>
    </xf>
    <xf numFmtId="167" fontId="11" fillId="0" borderId="0" xfId="0" applyNumberFormat="1" applyFont="1" applyAlignment="1" applyProtection="1">
      <alignment horizontal="center" vertical="center"/>
      <protection hidden="1"/>
    </xf>
    <xf numFmtId="0" fontId="4" fillId="0" borderId="0" xfId="0" applyFont="1" applyAlignment="1" applyProtection="1">
      <alignment horizontal="left"/>
      <protection hidden="1"/>
    </xf>
    <xf numFmtId="167" fontId="4" fillId="0" borderId="23" xfId="0" applyNumberFormat="1" applyFont="1" applyBorder="1" applyAlignment="1" applyProtection="1">
      <alignment horizontal="center" vertical="center"/>
      <protection hidden="1"/>
    </xf>
    <xf numFmtId="169" fontId="4" fillId="0" borderId="39" xfId="2" applyNumberFormat="1" applyFont="1" applyBorder="1" applyAlignment="1" applyProtection="1">
      <alignment horizontal="center" vertical="center"/>
      <protection hidden="1"/>
    </xf>
    <xf numFmtId="167" fontId="4" fillId="0" borderId="24" xfId="0" applyNumberFormat="1" applyFont="1" applyBorder="1" applyAlignment="1" applyProtection="1">
      <alignment horizontal="center" vertical="center"/>
      <protection hidden="1"/>
    </xf>
    <xf numFmtId="168" fontId="4" fillId="0" borderId="26" xfId="0" applyNumberFormat="1" applyFont="1" applyBorder="1" applyAlignment="1" applyProtection="1">
      <alignment horizontal="center" vertical="center"/>
      <protection hidden="1"/>
    </xf>
    <xf numFmtId="0" fontId="11" fillId="0" borderId="19" xfId="0" applyFont="1" applyBorder="1" applyAlignment="1" applyProtection="1">
      <alignment vertical="center"/>
      <protection hidden="1"/>
    </xf>
    <xf numFmtId="0" fontId="11" fillId="0" borderId="19" xfId="0" applyFont="1" applyBorder="1" applyProtection="1">
      <protection hidden="1"/>
    </xf>
    <xf numFmtId="0" fontId="39" fillId="0" borderId="20" xfId="0" applyFont="1" applyBorder="1" applyAlignment="1" applyProtection="1">
      <alignment horizontal="center" vertical="center" wrapText="1"/>
      <protection hidden="1"/>
    </xf>
    <xf numFmtId="0" fontId="4" fillId="0" borderId="18" xfId="0" applyFont="1" applyBorder="1" applyAlignment="1" applyProtection="1">
      <alignment horizontal="right" vertical="center"/>
      <protection hidden="1"/>
    </xf>
    <xf numFmtId="167" fontId="4" fillId="0" borderId="18" xfId="0" applyNumberFormat="1" applyFont="1" applyBorder="1" applyProtection="1">
      <protection hidden="1"/>
    </xf>
    <xf numFmtId="169" fontId="11" fillId="0" borderId="4" xfId="2" applyNumberFormat="1" applyFont="1" applyBorder="1" applyAlignment="1" applyProtection="1">
      <alignment horizontal="center" vertical="center"/>
      <protection hidden="1"/>
    </xf>
    <xf numFmtId="167" fontId="0" fillId="0" borderId="32" xfId="0" applyNumberFormat="1" applyBorder="1" applyProtection="1">
      <protection hidden="1"/>
    </xf>
    <xf numFmtId="0" fontId="6" fillId="0" borderId="33" xfId="0" applyFont="1" applyBorder="1" applyAlignment="1" applyProtection="1">
      <alignment horizontal="left" vertical="center"/>
      <protection hidden="1"/>
    </xf>
    <xf numFmtId="0" fontId="11" fillId="0" borderId="0" xfId="0" applyFont="1" applyAlignment="1" applyProtection="1">
      <alignment horizontal="left" vertical="center"/>
      <protection hidden="1"/>
    </xf>
    <xf numFmtId="0" fontId="4" fillId="0" borderId="7" xfId="0" applyFont="1" applyFill="1" applyBorder="1" applyAlignment="1" applyProtection="1">
      <alignment horizontal="center" vertical="center" wrapText="1"/>
      <protection hidden="1"/>
    </xf>
    <xf numFmtId="0" fontId="4" fillId="0" borderId="8" xfId="0" applyFont="1" applyFill="1" applyBorder="1" applyAlignment="1" applyProtection="1">
      <alignment horizontal="center" vertical="center" wrapText="1"/>
      <protection hidden="1"/>
    </xf>
    <xf numFmtId="0" fontId="3" fillId="3" borderId="8" xfId="0" applyFont="1" applyFill="1" applyBorder="1" applyAlignment="1" applyProtection="1">
      <alignment horizontal="center" vertical="center" wrapText="1"/>
      <protection hidden="1"/>
    </xf>
    <xf numFmtId="0" fontId="24" fillId="3" borderId="1" xfId="0" applyFont="1" applyFill="1" applyBorder="1" applyProtection="1">
      <protection hidden="1"/>
    </xf>
    <xf numFmtId="167" fontId="0" fillId="5" borderId="0" xfId="0" applyNumberFormat="1" applyFill="1" applyProtection="1">
      <protection hidden="1"/>
    </xf>
    <xf numFmtId="0" fontId="24" fillId="3" borderId="2" xfId="0" applyFont="1" applyFill="1" applyBorder="1" applyProtection="1">
      <protection hidden="1"/>
    </xf>
    <xf numFmtId="167" fontId="0" fillId="0" borderId="2" xfId="0" applyNumberFormat="1" applyFont="1" applyBorder="1" applyAlignment="1" applyProtection="1">
      <alignment horizontal="center" vertical="center"/>
      <protection hidden="1"/>
    </xf>
    <xf numFmtId="0" fontId="24" fillId="3" borderId="3" xfId="0" applyFont="1" applyFill="1" applyBorder="1" applyProtection="1">
      <protection hidden="1"/>
    </xf>
    <xf numFmtId="167" fontId="4" fillId="0" borderId="18" xfId="0" applyNumberFormat="1" applyFont="1" applyBorder="1" applyAlignment="1" applyProtection="1">
      <alignment horizontal="right"/>
      <protection hidden="1"/>
    </xf>
    <xf numFmtId="167" fontId="4" fillId="0" borderId="0" xfId="0" applyNumberFormat="1" applyFont="1" applyAlignment="1" applyProtection="1">
      <alignment horizontal="center" vertical="center"/>
      <protection hidden="1"/>
    </xf>
    <xf numFmtId="167" fontId="0" fillId="5" borderId="0" xfId="0" applyNumberFormat="1" applyFill="1" applyAlignment="1" applyProtection="1">
      <alignment horizontal="center" vertical="center"/>
      <protection hidden="1"/>
    </xf>
    <xf numFmtId="167" fontId="0" fillId="0" borderId="0" xfId="0" applyNumberFormat="1" applyFill="1" applyAlignment="1" applyProtection="1">
      <alignment horizontal="center" vertical="center"/>
      <protection hidden="1"/>
    </xf>
    <xf numFmtId="167" fontId="4" fillId="0" borderId="0" xfId="0" applyNumberFormat="1" applyFont="1" applyFill="1" applyAlignment="1" applyProtection="1">
      <alignment horizontal="center" vertical="center"/>
      <protection hidden="1"/>
    </xf>
    <xf numFmtId="167" fontId="4" fillId="0" borderId="0" xfId="0" applyNumberFormat="1" applyFont="1" applyProtection="1">
      <protection hidden="1"/>
    </xf>
    <xf numFmtId="167" fontId="0" fillId="0" borderId="31" xfId="0" applyNumberFormat="1" applyBorder="1" applyProtection="1">
      <protection hidden="1"/>
    </xf>
    <xf numFmtId="167" fontId="0" fillId="0" borderId="31" xfId="0" applyNumberFormat="1" applyBorder="1" applyAlignment="1" applyProtection="1">
      <alignment horizontal="center" vertical="center"/>
      <protection hidden="1"/>
    </xf>
    <xf numFmtId="167" fontId="0" fillId="0" borderId="0" xfId="0" applyNumberFormat="1" applyAlignment="1" applyProtection="1">
      <alignment horizontal="right"/>
      <protection hidden="1"/>
    </xf>
    <xf numFmtId="0" fontId="0" fillId="0" borderId="33" xfId="0" applyBorder="1" applyAlignment="1" applyProtection="1">
      <alignment wrapText="1"/>
      <protection hidden="1"/>
    </xf>
    <xf numFmtId="0" fontId="11" fillId="0" borderId="0" xfId="0" applyFont="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167" fontId="0" fillId="0" borderId="1" xfId="0" applyNumberFormat="1" applyFont="1" applyBorder="1" applyAlignment="1" applyProtection="1">
      <alignment horizontal="center" vertical="center"/>
      <protection hidden="1"/>
    </xf>
    <xf numFmtId="166" fontId="11" fillId="0" borderId="0" xfId="2" applyNumberFormat="1" applyFont="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167" fontId="0" fillId="0" borderId="3" xfId="0" applyNumberFormat="1" applyFont="1" applyBorder="1" applyAlignment="1" applyProtection="1">
      <alignment horizontal="center" vertical="center"/>
      <protection hidden="1"/>
    </xf>
    <xf numFmtId="0" fontId="4" fillId="0" borderId="18" xfId="0" applyFont="1" applyBorder="1" applyAlignment="1" applyProtection="1">
      <alignment horizontal="right"/>
      <protection hidden="1"/>
    </xf>
    <xf numFmtId="167" fontId="4" fillId="0" borderId="18" xfId="0" applyNumberFormat="1" applyFont="1" applyBorder="1" applyAlignment="1" applyProtection="1">
      <alignment horizontal="right" vertical="center"/>
      <protection hidden="1"/>
    </xf>
    <xf numFmtId="0" fontId="0" fillId="0" borderId="0" xfId="0" applyAlignment="1" applyProtection="1">
      <alignment wrapText="1"/>
      <protection hidden="1"/>
    </xf>
    <xf numFmtId="0" fontId="23" fillId="0" borderId="8" xfId="0" applyFont="1" applyBorder="1" applyProtection="1">
      <protection hidden="1"/>
    </xf>
    <xf numFmtId="0" fontId="0" fillId="0" borderId="19" xfId="0" applyBorder="1" applyAlignment="1" applyProtection="1">
      <alignment wrapText="1"/>
      <protection hidden="1"/>
    </xf>
    <xf numFmtId="0" fontId="23" fillId="0" borderId="0" xfId="0" applyFont="1" applyBorder="1" applyProtection="1">
      <protection hidden="1"/>
    </xf>
    <xf numFmtId="0" fontId="0" fillId="0" borderId="0" xfId="0" applyBorder="1" applyProtection="1">
      <protection hidden="1"/>
    </xf>
    <xf numFmtId="0" fontId="0" fillId="0" borderId="0" xfId="0" applyBorder="1" applyAlignment="1" applyProtection="1">
      <alignment wrapText="1"/>
      <protection hidden="1"/>
    </xf>
    <xf numFmtId="0" fontId="11" fillId="0" borderId="0" xfId="0" applyFont="1" applyAlignment="1" applyProtection="1">
      <alignment horizontal="right"/>
      <protection hidden="1"/>
    </xf>
    <xf numFmtId="0" fontId="3" fillId="3" borderId="0" xfId="0" applyFont="1" applyFill="1" applyAlignment="1" applyProtection="1">
      <alignment horizontal="center" vertical="center"/>
      <protection hidden="1"/>
    </xf>
    <xf numFmtId="0" fontId="26" fillId="0" borderId="8" xfId="0" applyFont="1" applyFill="1" applyBorder="1" applyAlignment="1" applyProtection="1">
      <alignment horizontal="center" vertical="center"/>
      <protection hidden="1"/>
    </xf>
    <xf numFmtId="0" fontId="20" fillId="0" borderId="0" xfId="0" applyFont="1" applyAlignment="1" applyProtection="1">
      <alignment horizontal="center" vertical="center"/>
      <protection hidden="1"/>
    </xf>
    <xf numFmtId="167" fontId="0" fillId="0" borderId="29" xfId="0" applyNumberFormat="1" applyBorder="1" applyAlignment="1" applyProtection="1">
      <alignment horizontal="center"/>
      <protection hidden="1"/>
    </xf>
    <xf numFmtId="167" fontId="0" fillId="0" borderId="27" xfId="0" applyNumberFormat="1" applyBorder="1" applyAlignment="1" applyProtection="1">
      <alignment horizontal="center"/>
      <protection hidden="1"/>
    </xf>
    <xf numFmtId="167" fontId="0" fillId="0" borderId="21" xfId="0" applyNumberFormat="1" applyBorder="1" applyAlignment="1" applyProtection="1">
      <alignment horizontal="center"/>
      <protection hidden="1"/>
    </xf>
    <xf numFmtId="167" fontId="0" fillId="0" borderId="29" xfId="0" applyNumberFormat="1" applyFill="1" applyBorder="1" applyAlignment="1" applyProtection="1">
      <alignment horizontal="center"/>
      <protection hidden="1"/>
    </xf>
    <xf numFmtId="168" fontId="0" fillId="0" borderId="0" xfId="0" applyNumberFormat="1" applyAlignment="1" applyProtection="1">
      <alignment horizontal="center" vertical="center"/>
      <protection hidden="1"/>
    </xf>
    <xf numFmtId="0" fontId="6" fillId="0" borderId="0" xfId="0" applyFont="1" applyProtection="1">
      <protection hidden="1"/>
    </xf>
    <xf numFmtId="0" fontId="0" fillId="0" borderId="32" xfId="0" applyBorder="1" applyAlignment="1" applyProtection="1">
      <alignment horizontal="center" vertical="center"/>
      <protection hidden="1"/>
    </xf>
    <xf numFmtId="168" fontId="19" fillId="0" borderId="0" xfId="0" applyNumberFormat="1" applyFont="1" applyAlignment="1" applyProtection="1">
      <alignment horizontal="center" vertical="center"/>
      <protection hidden="1"/>
    </xf>
    <xf numFmtId="168" fontId="4" fillId="0" borderId="8" xfId="0" applyNumberFormat="1" applyFont="1" applyBorder="1" applyAlignment="1" applyProtection="1">
      <alignment horizontal="center" vertical="center"/>
      <protection hidden="1"/>
    </xf>
    <xf numFmtId="0" fontId="21" fillId="0" borderId="8" xfId="0" applyFont="1" applyBorder="1" applyAlignment="1" applyProtection="1">
      <alignment horizontal="center" vertical="center"/>
      <protection hidden="1"/>
    </xf>
    <xf numFmtId="0" fontId="22" fillId="0" borderId="8" xfId="0" applyFont="1" applyBorder="1" applyAlignment="1" applyProtection="1">
      <alignment horizontal="center" vertical="center"/>
      <protection hidden="1"/>
    </xf>
    <xf numFmtId="0" fontId="27" fillId="0" borderId="8" xfId="0" applyFont="1" applyBorder="1" applyAlignment="1" applyProtection="1">
      <alignment horizontal="center" vertical="center"/>
      <protection hidden="1"/>
    </xf>
    <xf numFmtId="0" fontId="4" fillId="0" borderId="8" xfId="0" applyFont="1" applyBorder="1" applyAlignment="1" applyProtection="1">
      <alignment horizontal="center" vertical="center" wrapText="1"/>
      <protection hidden="1"/>
    </xf>
    <xf numFmtId="0" fontId="23" fillId="0" borderId="8" xfId="0" applyFont="1" applyFill="1" applyBorder="1" applyAlignment="1" applyProtection="1">
      <alignment horizontal="center" vertical="center"/>
      <protection hidden="1"/>
    </xf>
    <xf numFmtId="168" fontId="4" fillId="0" borderId="0" xfId="0" applyNumberFormat="1" applyFont="1" applyBorder="1" applyAlignment="1" applyProtection="1">
      <alignment horizontal="center" vertical="center"/>
      <protection hidden="1"/>
    </xf>
    <xf numFmtId="0" fontId="16" fillId="0" borderId="0" xfId="0" applyFont="1" applyBorder="1" applyAlignment="1" applyProtection="1">
      <alignment horizontal="center" vertical="center"/>
      <protection hidden="1"/>
    </xf>
    <xf numFmtId="0" fontId="17" fillId="0" borderId="0" xfId="0" applyFont="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4" fillId="0" borderId="0" xfId="0" applyFont="1" applyBorder="1" applyAlignment="1" applyProtection="1">
      <alignment horizontal="center" vertical="center" wrapText="1"/>
      <protection hidden="1"/>
    </xf>
    <xf numFmtId="168" fontId="0" fillId="0" borderId="1" xfId="0" applyNumberFormat="1" applyBorder="1" applyAlignment="1" applyProtection="1">
      <alignment horizontal="center" vertical="center"/>
      <protection hidden="1"/>
    </xf>
    <xf numFmtId="166" fontId="0" fillId="0" borderId="1" xfId="2" applyNumberFormat="1" applyFont="1" applyBorder="1" applyAlignment="1" applyProtection="1">
      <alignment horizontal="center" vertical="center"/>
      <protection hidden="1"/>
    </xf>
    <xf numFmtId="166" fontId="0" fillId="0" borderId="0" xfId="0" applyNumberFormat="1" applyAlignment="1" applyProtection="1">
      <alignment horizontal="center" vertical="center"/>
      <protection hidden="1"/>
    </xf>
    <xf numFmtId="0" fontId="9" fillId="0" borderId="0" xfId="0" applyFont="1" applyFill="1" applyProtection="1">
      <protection hidden="1"/>
    </xf>
    <xf numFmtId="0" fontId="4" fillId="0" borderId="2" xfId="0" applyFont="1" applyBorder="1" applyAlignment="1" applyProtection="1">
      <alignment horizontal="center" vertical="center"/>
      <protection hidden="1"/>
    </xf>
    <xf numFmtId="168" fontId="0" fillId="0" borderId="2" xfId="0" applyNumberFormat="1" applyBorder="1" applyAlignment="1" applyProtection="1">
      <alignment horizontal="center" vertical="center"/>
      <protection hidden="1"/>
    </xf>
    <xf numFmtId="166" fontId="0" fillId="0" borderId="2" xfId="2" applyNumberFormat="1" applyFont="1" applyBorder="1" applyAlignment="1" applyProtection="1">
      <alignment horizontal="center" vertical="center"/>
      <protection hidden="1"/>
    </xf>
    <xf numFmtId="168" fontId="0" fillId="0" borderId="3" xfId="0" applyNumberFormat="1" applyBorder="1" applyAlignment="1" applyProtection="1">
      <alignment horizontal="center" vertical="center"/>
      <protection hidden="1"/>
    </xf>
    <xf numFmtId="166" fontId="0" fillId="0" borderId="3" xfId="2" applyNumberFormat="1" applyFont="1" applyBorder="1" applyAlignment="1" applyProtection="1">
      <alignment horizontal="center" vertical="center"/>
      <protection hidden="1"/>
    </xf>
    <xf numFmtId="168" fontId="0" fillId="0" borderId="0" xfId="0" applyNumberFormat="1" applyProtection="1">
      <protection hidden="1"/>
    </xf>
    <xf numFmtId="168" fontId="0" fillId="0" borderId="31" xfId="0" applyNumberFormat="1" applyBorder="1" applyAlignment="1" applyProtection="1">
      <alignment horizontal="center" vertical="center"/>
      <protection hidden="1"/>
    </xf>
    <xf numFmtId="0" fontId="6" fillId="0" borderId="0" xfId="0" applyFont="1" applyAlignment="1" applyProtection="1">
      <alignment horizontal="center" vertical="center" wrapText="1"/>
      <protection hidden="1"/>
    </xf>
    <xf numFmtId="168" fontId="6" fillId="0" borderId="0" xfId="0" applyNumberFormat="1" applyFont="1" applyAlignment="1" applyProtection="1">
      <alignment horizontal="center" vertical="center"/>
      <protection hidden="1"/>
    </xf>
    <xf numFmtId="0" fontId="0" fillId="0" borderId="32" xfId="0" applyBorder="1" applyAlignment="1" applyProtection="1">
      <alignment horizontal="center" vertical="center" wrapText="1"/>
      <protection hidden="1"/>
    </xf>
    <xf numFmtId="0" fontId="23" fillId="0" borderId="8" xfId="0" applyFont="1" applyFill="1" applyBorder="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0" fillId="0" borderId="31"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168" fontId="0" fillId="0" borderId="33" xfId="0" applyNumberFormat="1" applyBorder="1" applyAlignment="1" applyProtection="1">
      <alignment horizontal="center" vertical="center"/>
      <protection hidden="1"/>
    </xf>
    <xf numFmtId="168" fontId="13" fillId="0" borderId="0" xfId="0" applyNumberFormat="1" applyFont="1" applyAlignment="1" applyProtection="1">
      <alignment horizontal="right"/>
      <protection hidden="1"/>
    </xf>
    <xf numFmtId="168" fontId="4" fillId="0" borderId="19" xfId="0" applyNumberFormat="1" applyFont="1" applyBorder="1" applyAlignment="1" applyProtection="1">
      <alignment horizontal="center" vertical="center"/>
      <protection hidden="1"/>
    </xf>
    <xf numFmtId="0" fontId="12" fillId="0" borderId="0" xfId="0" applyFont="1" applyAlignment="1" applyProtection="1">
      <alignment horizontal="center" vertical="center"/>
      <protection hidden="1"/>
    </xf>
    <xf numFmtId="0" fontId="4" fillId="0" borderId="1" xfId="0" applyFont="1" applyBorder="1" applyProtection="1">
      <protection hidden="1"/>
    </xf>
    <xf numFmtId="0" fontId="0" fillId="0" borderId="1" xfId="0" applyBorder="1" applyProtection="1">
      <protection hidden="1"/>
    </xf>
    <xf numFmtId="165" fontId="0" fillId="0" borderId="1" xfId="1" applyNumberFormat="1" applyFont="1" applyBorder="1" applyAlignment="1" applyProtection="1">
      <alignment horizontal="right" vertical="center" wrapText="1"/>
      <protection hidden="1"/>
    </xf>
    <xf numFmtId="0" fontId="4" fillId="0" borderId="2" xfId="0" applyFont="1" applyBorder="1" applyProtection="1">
      <protection hidden="1"/>
    </xf>
    <xf numFmtId="0" fontId="0" fillId="0" borderId="2" xfId="0" applyBorder="1" applyProtection="1">
      <protection hidden="1"/>
    </xf>
    <xf numFmtId="0" fontId="4" fillId="0" borderId="3" xfId="0" applyFont="1" applyBorder="1" applyProtection="1">
      <protection hidden="1"/>
    </xf>
    <xf numFmtId="0" fontId="0" fillId="0" borderId="3" xfId="0" applyBorder="1" applyProtection="1">
      <protection hidden="1"/>
    </xf>
    <xf numFmtId="0" fontId="6" fillId="0" borderId="5" xfId="0" applyFont="1" applyBorder="1" applyAlignment="1" applyProtection="1">
      <alignment horizontal="right"/>
      <protection hidden="1"/>
    </xf>
    <xf numFmtId="9" fontId="6" fillId="0" borderId="5" xfId="2" applyFont="1" applyBorder="1" applyAlignment="1" applyProtection="1">
      <alignment horizontal="center" vertical="center" wrapText="1"/>
      <protection hidden="1"/>
    </xf>
    <xf numFmtId="168" fontId="6" fillId="0" borderId="5" xfId="0" applyNumberFormat="1" applyFont="1" applyBorder="1" applyAlignment="1" applyProtection="1">
      <alignment horizontal="center" vertical="center"/>
      <protection hidden="1"/>
    </xf>
    <xf numFmtId="165" fontId="6" fillId="0" borderId="5" xfId="1" applyNumberFormat="1" applyFont="1" applyBorder="1" applyAlignment="1" applyProtection="1">
      <alignment horizontal="center" vertical="center" wrapText="1"/>
      <protection hidden="1"/>
    </xf>
    <xf numFmtId="9" fontId="0" fillId="0" borderId="2" xfId="2" applyFont="1" applyBorder="1" applyAlignment="1" applyProtection="1">
      <alignment horizontal="center" vertical="center" wrapText="1"/>
      <protection hidden="1"/>
    </xf>
    <xf numFmtId="0" fontId="0" fillId="0" borderId="0" xfId="0" applyAlignment="1" applyProtection="1">
      <alignment horizontal="left" wrapText="1"/>
      <protection hidden="1"/>
    </xf>
    <xf numFmtId="0" fontId="4" fillId="0" borderId="4" xfId="0" applyFont="1" applyBorder="1" applyAlignment="1" applyProtection="1">
      <alignment horizontal="center" vertical="center"/>
      <protection hidden="1"/>
    </xf>
    <xf numFmtId="9" fontId="4" fillId="0" borderId="4" xfId="0" applyNumberFormat="1" applyFont="1" applyBorder="1" applyAlignment="1" applyProtection="1">
      <alignment horizontal="center" vertical="center" wrapText="1"/>
      <protection hidden="1"/>
    </xf>
    <xf numFmtId="168" fontId="4" fillId="0" borderId="4" xfId="0" applyNumberFormat="1" applyFont="1" applyBorder="1" applyAlignment="1" applyProtection="1">
      <alignment horizontal="center" vertical="center"/>
      <protection hidden="1"/>
    </xf>
    <xf numFmtId="9" fontId="4" fillId="0" borderId="4" xfId="2" applyFont="1" applyBorder="1" applyAlignment="1" applyProtection="1">
      <alignment horizontal="center" vertical="center" wrapText="1"/>
      <protection hidden="1"/>
    </xf>
    <xf numFmtId="165" fontId="4" fillId="0" borderId="4" xfId="1" applyNumberFormat="1" applyFont="1" applyBorder="1" applyAlignment="1" applyProtection="1">
      <alignment horizontal="left" vertical="center" wrapText="1"/>
      <protection hidden="1"/>
    </xf>
    <xf numFmtId="9" fontId="4" fillId="0" borderId="0" xfId="0" applyNumberFormat="1" applyFont="1" applyAlignment="1" applyProtection="1">
      <alignment horizontal="center" vertical="center" wrapText="1"/>
      <protection hidden="1"/>
    </xf>
    <xf numFmtId="168" fontId="4" fillId="0" borderId="0" xfId="0" applyNumberFormat="1" applyFont="1" applyAlignment="1" applyProtection="1">
      <alignment horizontal="center" vertical="center"/>
      <protection hidden="1"/>
    </xf>
    <xf numFmtId="9" fontId="4" fillId="0" borderId="0" xfId="2" applyFont="1" applyAlignment="1" applyProtection="1">
      <alignment horizontal="center" vertical="center" wrapText="1"/>
      <protection hidden="1"/>
    </xf>
    <xf numFmtId="165" fontId="4" fillId="0" borderId="0" xfId="1" applyNumberFormat="1" applyFont="1" applyAlignment="1" applyProtection="1">
      <alignment horizontal="left" vertical="center" wrapText="1"/>
      <protection hidden="1"/>
    </xf>
    <xf numFmtId="0" fontId="13" fillId="0" borderId="0" xfId="0" applyFont="1" applyAlignment="1" applyProtection="1">
      <alignment horizontal="right"/>
      <protection hidden="1"/>
    </xf>
    <xf numFmtId="0" fontId="0" fillId="0" borderId="0" xfId="0" applyBorder="1" applyAlignment="1" applyProtection="1">
      <alignment horizontal="center" vertical="center" wrapText="1"/>
      <protection hidden="1"/>
    </xf>
    <xf numFmtId="168" fontId="0" fillId="0" borderId="0" xfId="0" applyNumberFormat="1" applyBorder="1" applyAlignment="1" applyProtection="1">
      <alignment horizontal="center" vertical="center"/>
      <protection hidden="1"/>
    </xf>
    <xf numFmtId="0" fontId="0" fillId="0" borderId="0" xfId="0" applyBorder="1" applyAlignment="1" applyProtection="1">
      <alignment horizontal="left" vertical="center" wrapText="1"/>
      <protection hidden="1"/>
    </xf>
    <xf numFmtId="3" fontId="9" fillId="6" borderId="8" xfId="0" applyNumberFormat="1" applyFont="1" applyFill="1" applyBorder="1" applyAlignment="1" applyProtection="1">
      <alignment horizontal="center" vertical="center"/>
      <protection locked="0" hidden="1"/>
    </xf>
    <xf numFmtId="0" fontId="10" fillId="0" borderId="19" xfId="0" applyFont="1" applyBorder="1" applyAlignment="1" applyProtection="1">
      <alignment horizontal="center" vertical="center" wrapText="1"/>
      <protection locked="0" hidden="1"/>
    </xf>
    <xf numFmtId="0" fontId="9" fillId="6" borderId="20" xfId="0" applyFont="1" applyFill="1" applyBorder="1" applyAlignment="1" applyProtection="1">
      <alignment horizontal="center"/>
      <protection locked="0" hidden="1"/>
    </xf>
    <xf numFmtId="0" fontId="9" fillId="6" borderId="27" xfId="0" applyFont="1" applyFill="1" applyBorder="1" applyAlignment="1" applyProtection="1">
      <alignment horizontal="center"/>
      <protection locked="0" hidden="1"/>
    </xf>
    <xf numFmtId="0" fontId="9" fillId="6" borderId="21" xfId="0" applyFont="1" applyFill="1" applyBorder="1" applyAlignment="1" applyProtection="1">
      <alignment horizontal="center"/>
      <protection locked="0" hidden="1"/>
    </xf>
    <xf numFmtId="9" fontId="9" fillId="6" borderId="20" xfId="2" applyFont="1" applyFill="1" applyBorder="1" applyAlignment="1" applyProtection="1">
      <alignment horizontal="center" vertical="center"/>
      <protection locked="0" hidden="1"/>
    </xf>
    <xf numFmtId="9" fontId="9" fillId="6" borderId="27" xfId="2" applyFont="1" applyFill="1" applyBorder="1" applyAlignment="1" applyProtection="1">
      <alignment horizontal="center" vertical="center"/>
      <protection locked="0" hidden="1"/>
    </xf>
    <xf numFmtId="9" fontId="9" fillId="6" borderId="21" xfId="2" applyFont="1" applyFill="1" applyBorder="1" applyAlignment="1" applyProtection="1">
      <alignment horizontal="center" vertical="center"/>
      <protection locked="0" hidden="1"/>
    </xf>
    <xf numFmtId="165" fontId="9" fillId="6" borderId="20" xfId="1" applyNumberFormat="1" applyFont="1" applyFill="1" applyBorder="1" applyAlignment="1" applyProtection="1">
      <alignment horizontal="center" vertical="center"/>
      <protection locked="0" hidden="1"/>
    </xf>
    <xf numFmtId="0" fontId="9" fillId="6" borderId="20" xfId="1" applyNumberFormat="1" applyFont="1" applyFill="1" applyBorder="1" applyAlignment="1" applyProtection="1">
      <alignment horizontal="center" vertical="center"/>
      <protection locked="0" hidden="1"/>
    </xf>
    <xf numFmtId="165" fontId="9" fillId="6" borderId="27" xfId="1" applyNumberFormat="1" applyFont="1" applyFill="1" applyBorder="1" applyAlignment="1" applyProtection="1">
      <alignment horizontal="center" vertical="center"/>
      <protection locked="0" hidden="1"/>
    </xf>
    <xf numFmtId="0" fontId="9" fillId="6" borderId="27" xfId="1" applyNumberFormat="1" applyFont="1" applyFill="1" applyBorder="1" applyAlignment="1" applyProtection="1">
      <alignment horizontal="center" vertical="center"/>
      <protection locked="0" hidden="1"/>
    </xf>
    <xf numFmtId="165" fontId="9" fillId="6" borderId="21" xfId="1" applyNumberFormat="1" applyFont="1" applyFill="1" applyBorder="1" applyAlignment="1" applyProtection="1">
      <alignment horizontal="center" vertical="center"/>
      <protection locked="0" hidden="1"/>
    </xf>
    <xf numFmtId="0" fontId="9" fillId="6" borderId="21" xfId="1" applyNumberFormat="1" applyFont="1" applyFill="1" applyBorder="1" applyAlignment="1" applyProtection="1">
      <alignment horizontal="center" vertical="center"/>
      <protection locked="0" hidden="1"/>
    </xf>
    <xf numFmtId="0" fontId="10" fillId="0" borderId="8" xfId="0" applyFont="1" applyBorder="1" applyAlignment="1" applyProtection="1">
      <alignment horizontal="center"/>
      <protection locked="0" hidden="1"/>
    </xf>
    <xf numFmtId="0" fontId="9" fillId="6" borderId="27" xfId="0" applyFont="1" applyFill="1" applyBorder="1" applyAlignment="1" applyProtection="1">
      <alignment horizontal="left"/>
      <protection locked="0" hidden="1"/>
    </xf>
    <xf numFmtId="0" fontId="15" fillId="0" borderId="8" xfId="0" applyFont="1" applyBorder="1" applyAlignment="1" applyProtection="1">
      <alignment horizontal="center" vertical="center"/>
      <protection locked="0" hidden="1"/>
    </xf>
    <xf numFmtId="0" fontId="4" fillId="0" borderId="0" xfId="0" applyFont="1" applyAlignment="1" applyProtection="1">
      <alignment horizontal="right" vertical="center"/>
      <protection hidden="1"/>
    </xf>
    <xf numFmtId="0" fontId="0" fillId="0" borderId="0" xfId="0" applyAlignment="1" applyProtection="1">
      <alignment horizontal="right" vertical="center" wrapText="1"/>
      <protection hidden="1"/>
    </xf>
    <xf numFmtId="0" fontId="0" fillId="0" borderId="33" xfId="0" applyBorder="1" applyAlignment="1" applyProtection="1">
      <alignment horizontal="right" vertical="center" wrapText="1"/>
      <protection hidden="1"/>
    </xf>
    <xf numFmtId="0" fontId="0" fillId="0" borderId="0" xfId="0" applyBorder="1" applyAlignment="1" applyProtection="1">
      <alignment horizontal="right" vertical="center" wrapText="1"/>
      <protection hidden="1"/>
    </xf>
    <xf numFmtId="0" fontId="0" fillId="0" borderId="31" xfId="0" applyBorder="1" applyAlignment="1" applyProtection="1">
      <alignment horizontal="right" vertical="center" wrapText="1"/>
      <protection hidden="1"/>
    </xf>
    <xf numFmtId="166" fontId="9" fillId="6" borderId="1" xfId="2" applyNumberFormat="1" applyFont="1" applyFill="1" applyBorder="1" applyAlignment="1" applyProtection="1">
      <alignment horizontal="center" vertical="center" wrapText="1"/>
      <protection locked="0" hidden="1"/>
    </xf>
    <xf numFmtId="166" fontId="9" fillId="6" borderId="2" xfId="2" applyNumberFormat="1" applyFont="1" applyFill="1" applyBorder="1" applyAlignment="1" applyProtection="1">
      <alignment horizontal="center" vertical="center" wrapText="1"/>
      <protection locked="0" hidden="1"/>
    </xf>
    <xf numFmtId="166" fontId="9" fillId="6" borderId="3" xfId="2" applyNumberFormat="1" applyFont="1" applyFill="1" applyBorder="1" applyAlignment="1" applyProtection="1">
      <alignment horizontal="center" vertical="center" wrapText="1"/>
      <protection locked="0" hidden="1"/>
    </xf>
    <xf numFmtId="167" fontId="9" fillId="6" borderId="9" xfId="1" applyNumberFormat="1" applyFont="1" applyFill="1" applyBorder="1" applyAlignment="1" applyProtection="1">
      <alignment horizontal="center" vertical="center"/>
      <protection locked="0" hidden="1"/>
    </xf>
    <xf numFmtId="167" fontId="9" fillId="6" borderId="10" xfId="1" applyNumberFormat="1" applyFont="1" applyFill="1" applyBorder="1" applyAlignment="1" applyProtection="1">
      <alignment horizontal="center" vertical="center"/>
      <protection locked="0" hidden="1"/>
    </xf>
    <xf numFmtId="167" fontId="9" fillId="6" borderId="11" xfId="1" applyNumberFormat="1" applyFont="1" applyFill="1" applyBorder="1" applyAlignment="1" applyProtection="1">
      <alignment horizontal="center" vertical="center"/>
      <protection locked="0" hidden="1"/>
    </xf>
    <xf numFmtId="167" fontId="9" fillId="6" borderId="12" xfId="1" applyNumberFormat="1" applyFont="1" applyFill="1" applyBorder="1" applyAlignment="1" applyProtection="1">
      <alignment horizontal="center" vertical="center"/>
      <protection locked="0" hidden="1"/>
    </xf>
    <xf numFmtId="167" fontId="9" fillId="6" borderId="13" xfId="1" applyNumberFormat="1" applyFont="1" applyFill="1" applyBorder="1" applyAlignment="1" applyProtection="1">
      <alignment horizontal="center" vertical="center"/>
      <protection locked="0" hidden="1"/>
    </xf>
    <xf numFmtId="167" fontId="9" fillId="6" borderId="14" xfId="1" applyNumberFormat="1" applyFont="1" applyFill="1" applyBorder="1" applyAlignment="1" applyProtection="1">
      <alignment horizontal="center" vertical="center"/>
      <protection locked="0" hidden="1"/>
    </xf>
    <xf numFmtId="167" fontId="9" fillId="6" borderId="15" xfId="1" applyNumberFormat="1" applyFont="1" applyFill="1" applyBorder="1" applyAlignment="1" applyProtection="1">
      <alignment horizontal="center" vertical="center"/>
      <protection locked="0" hidden="1"/>
    </xf>
    <xf numFmtId="167" fontId="9" fillId="6" borderId="16" xfId="1" applyNumberFormat="1" applyFont="1" applyFill="1" applyBorder="1" applyAlignment="1" applyProtection="1">
      <alignment horizontal="center" vertical="center"/>
      <protection locked="0" hidden="1"/>
    </xf>
    <xf numFmtId="167" fontId="9" fillId="6" borderId="17" xfId="1" applyNumberFormat="1" applyFont="1" applyFill="1" applyBorder="1" applyAlignment="1" applyProtection="1">
      <alignment horizontal="center" vertical="center"/>
      <protection locked="0" hidden="1"/>
    </xf>
    <xf numFmtId="166" fontId="9" fillId="6" borderId="12" xfId="0" applyNumberFormat="1" applyFont="1" applyFill="1" applyBorder="1" applyAlignment="1" applyProtection="1">
      <alignment horizontal="center" vertical="center"/>
      <protection locked="0" hidden="1"/>
    </xf>
    <xf numFmtId="166" fontId="9" fillId="6" borderId="10" xfId="0" applyNumberFormat="1" applyFont="1" applyFill="1" applyBorder="1" applyAlignment="1" applyProtection="1">
      <alignment horizontal="center" vertical="center"/>
      <protection locked="0" hidden="1"/>
    </xf>
    <xf numFmtId="166" fontId="9" fillId="6" borderId="11" xfId="0" applyNumberFormat="1" applyFont="1" applyFill="1" applyBorder="1" applyAlignment="1" applyProtection="1">
      <alignment horizontal="center" vertical="center"/>
      <protection locked="0" hidden="1"/>
    </xf>
    <xf numFmtId="166" fontId="9" fillId="6" borderId="13" xfId="0" applyNumberFormat="1" applyFont="1" applyFill="1" applyBorder="1" applyAlignment="1" applyProtection="1">
      <alignment horizontal="center" vertical="center"/>
      <protection locked="0" hidden="1"/>
    </xf>
    <xf numFmtId="166" fontId="9" fillId="6" borderId="14" xfId="0" applyNumberFormat="1" applyFont="1" applyFill="1" applyBorder="1" applyAlignment="1" applyProtection="1">
      <alignment horizontal="center" vertical="center"/>
      <protection locked="0" hidden="1"/>
    </xf>
    <xf numFmtId="166" fontId="9" fillId="6" borderId="15" xfId="0" applyNumberFormat="1" applyFont="1" applyFill="1" applyBorder="1" applyAlignment="1" applyProtection="1">
      <alignment horizontal="center" vertical="center"/>
      <protection locked="0" hidden="1"/>
    </xf>
    <xf numFmtId="166" fontId="9" fillId="6" borderId="16" xfId="0" applyNumberFormat="1" applyFont="1" applyFill="1" applyBorder="1" applyAlignment="1" applyProtection="1">
      <alignment horizontal="center" vertical="center"/>
      <protection locked="0" hidden="1"/>
    </xf>
    <xf numFmtId="166" fontId="9" fillId="6" borderId="17" xfId="0" applyNumberFormat="1" applyFont="1" applyFill="1" applyBorder="1" applyAlignment="1" applyProtection="1">
      <alignment horizontal="center" vertical="center"/>
      <protection locked="0" hidden="1"/>
    </xf>
    <xf numFmtId="166" fontId="9" fillId="6" borderId="9" xfId="0" applyNumberFormat="1" applyFont="1" applyFill="1" applyBorder="1" applyAlignment="1" applyProtection="1">
      <alignment horizontal="center" vertical="center"/>
      <protection locked="0" hidden="1"/>
    </xf>
    <xf numFmtId="167" fontId="5" fillId="6" borderId="29" xfId="0" applyNumberFormat="1" applyFont="1" applyFill="1" applyBorder="1" applyAlignment="1" applyProtection="1">
      <alignment horizontal="center"/>
      <protection locked="0" hidden="1"/>
    </xf>
    <xf numFmtId="167" fontId="5" fillId="6" borderId="27" xfId="0" applyNumberFormat="1" applyFont="1" applyFill="1" applyBorder="1" applyAlignment="1" applyProtection="1">
      <alignment horizontal="center"/>
      <protection locked="0" hidden="1"/>
    </xf>
    <xf numFmtId="167" fontId="5" fillId="6" borderId="21" xfId="0" applyNumberFormat="1" applyFont="1" applyFill="1" applyBorder="1" applyAlignment="1" applyProtection="1">
      <alignment horizontal="center"/>
      <protection locked="0" hidden="1"/>
    </xf>
    <xf numFmtId="167" fontId="14" fillId="4" borderId="6" xfId="0" applyNumberFormat="1" applyFont="1" applyFill="1" applyBorder="1" applyAlignment="1" applyProtection="1">
      <alignment horizontal="center" vertical="center"/>
      <protection locked="0" hidden="1"/>
    </xf>
    <xf numFmtId="167" fontId="4" fillId="2" borderId="6" xfId="0" applyNumberFormat="1" applyFont="1" applyFill="1" applyBorder="1" applyAlignment="1" applyProtection="1">
      <alignment horizontal="center" vertical="center"/>
      <protection locked="0" hidden="1"/>
    </xf>
    <xf numFmtId="0" fontId="4" fillId="2" borderId="6" xfId="0" applyFont="1" applyFill="1" applyBorder="1" applyAlignment="1" applyProtection="1">
      <alignment horizontal="center" vertical="center"/>
      <protection locked="0" hidden="1"/>
    </xf>
    <xf numFmtId="9" fontId="5" fillId="6" borderId="8" xfId="2" applyFont="1" applyFill="1" applyBorder="1" applyAlignment="1" applyProtection="1">
      <alignment horizontal="center" vertical="center"/>
      <protection locked="0" hidden="1"/>
    </xf>
    <xf numFmtId="9" fontId="35" fillId="6" borderId="1" xfId="2" applyFont="1" applyFill="1" applyBorder="1" applyAlignment="1" applyProtection="1">
      <alignment horizontal="center" vertical="center"/>
      <protection locked="0" hidden="1"/>
    </xf>
    <xf numFmtId="0" fontId="30" fillId="0" borderId="0" xfId="0" applyFont="1" applyAlignment="1" applyProtection="1">
      <alignment horizontal="left" vertical="center"/>
      <protection hidden="1"/>
    </xf>
    <xf numFmtId="0" fontId="30" fillId="0" borderId="0" xfId="0" applyFont="1" applyAlignment="1" applyProtection="1">
      <alignment horizontal="left"/>
      <protection hidden="1"/>
    </xf>
    <xf numFmtId="168" fontId="4" fillId="0" borderId="0" xfId="0" applyNumberFormat="1" applyFont="1" applyBorder="1" applyProtection="1">
      <protection hidden="1"/>
    </xf>
    <xf numFmtId="0" fontId="29" fillId="0" borderId="5" xfId="0" applyFont="1" applyBorder="1" applyAlignment="1" applyProtection="1">
      <alignment horizontal="right" vertical="center"/>
      <protection hidden="1"/>
    </xf>
    <xf numFmtId="168" fontId="4" fillId="0" borderId="5" xfId="0" applyNumberFormat="1" applyFont="1" applyBorder="1" applyProtection="1">
      <protection hidden="1"/>
    </xf>
    <xf numFmtId="167" fontId="4" fillId="0" borderId="5" xfId="0" applyNumberFormat="1" applyFont="1" applyBorder="1" applyProtection="1">
      <protection hidden="1"/>
    </xf>
    <xf numFmtId="167" fontId="0" fillId="0" borderId="0" xfId="0" applyNumberFormat="1" applyBorder="1" applyAlignment="1" applyProtection="1">
      <alignment horizontal="center" vertical="center"/>
      <protection hidden="1"/>
    </xf>
    <xf numFmtId="0" fontId="24" fillId="3" borderId="0" xfId="0" applyFont="1" applyFill="1" applyBorder="1" applyProtection="1">
      <protection hidden="1"/>
    </xf>
    <xf numFmtId="0" fontId="33" fillId="0" borderId="0" xfId="0" applyFont="1" applyAlignment="1" applyProtection="1">
      <alignment horizontal="center" vertical="center"/>
      <protection hidden="1"/>
    </xf>
    <xf numFmtId="0" fontId="32" fillId="0" borderId="0" xfId="0" applyFont="1" applyAlignment="1" applyProtection="1">
      <alignment horizontal="center"/>
      <protection hidden="1"/>
    </xf>
    <xf numFmtId="0" fontId="0" fillId="0" borderId="0" xfId="0" applyAlignment="1" applyProtection="1">
      <alignment horizontal="left" vertical="center" wrapText="1"/>
      <protection hidden="1"/>
    </xf>
    <xf numFmtId="0" fontId="29" fillId="0" borderId="0" xfId="0" applyFont="1" applyAlignment="1" applyProtection="1">
      <alignment horizontal="left" vertical="center" wrapText="1"/>
      <protection hidden="1"/>
    </xf>
    <xf numFmtId="0" fontId="14" fillId="0" borderId="19" xfId="0" applyFont="1" applyFill="1" applyBorder="1" applyAlignment="1" applyProtection="1">
      <alignment horizontal="center" vertical="center" wrapText="1"/>
      <protection hidden="1"/>
    </xf>
    <xf numFmtId="0" fontId="14" fillId="0" borderId="8" xfId="0" applyFont="1" applyFill="1" applyBorder="1" applyAlignment="1">
      <alignment horizontal="center" vertical="center" wrapText="1"/>
    </xf>
    <xf numFmtId="0" fontId="4" fillId="7" borderId="35" xfId="0" applyFont="1" applyFill="1" applyBorder="1" applyAlignment="1" applyProtection="1">
      <alignment horizontal="center" vertical="center"/>
      <protection hidden="1"/>
    </xf>
    <xf numFmtId="0" fontId="4" fillId="7" borderId="36" xfId="0" applyFont="1" applyFill="1" applyBorder="1" applyAlignment="1" applyProtection="1">
      <alignment horizontal="center" vertical="center"/>
      <protection hidden="1"/>
    </xf>
    <xf numFmtId="0" fontId="4" fillId="7" borderId="37" xfId="0" applyFont="1" applyFill="1" applyBorder="1" applyAlignment="1" applyProtection="1">
      <alignment horizontal="center" vertical="center"/>
      <protection hidden="1"/>
    </xf>
    <xf numFmtId="0" fontId="11" fillId="0" borderId="5" xfId="0" applyFont="1" applyBorder="1" applyAlignment="1" applyProtection="1">
      <alignment horizontal="center"/>
      <protection hidden="1"/>
    </xf>
    <xf numFmtId="0" fontId="4" fillId="8" borderId="35" xfId="0" applyFont="1" applyFill="1" applyBorder="1" applyAlignment="1" applyProtection="1">
      <alignment horizontal="center" vertical="center"/>
      <protection locked="0" hidden="1"/>
    </xf>
    <xf numFmtId="0" fontId="4" fillId="8" borderId="36" xfId="0" applyFont="1" applyFill="1" applyBorder="1" applyAlignment="1" applyProtection="1">
      <alignment horizontal="center" vertical="center"/>
      <protection locked="0" hidden="1"/>
    </xf>
    <xf numFmtId="0" fontId="4" fillId="8" borderId="37" xfId="0" applyFont="1" applyFill="1" applyBorder="1" applyAlignment="1" applyProtection="1">
      <alignment horizontal="center" vertical="center"/>
      <protection locked="0" hidden="1"/>
    </xf>
    <xf numFmtId="0" fontId="41" fillId="0" borderId="38" xfId="0" applyFont="1" applyBorder="1" applyAlignment="1" applyProtection="1">
      <alignment horizontal="center" vertical="center"/>
      <protection hidden="1"/>
    </xf>
  </cellXfs>
  <cellStyles count="3">
    <cellStyle name="Comma" xfId="1" builtinId="3"/>
    <cellStyle name="Normal" xfId="0" builtinId="0"/>
    <cellStyle name="Percent" xfId="2" builtinId="5"/>
  </cellStyles>
  <dxfs count="43">
    <dxf>
      <font>
        <color theme="0" tint="-4.9989318521683403E-2"/>
      </font>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D5FED6"/>
      </font>
      <fill>
        <patternFill>
          <bgColor rgb="FFD5FED6"/>
        </patternFill>
      </fill>
      <border>
        <left style="thin">
          <color auto="1"/>
        </left>
        <right style="thin">
          <color auto="1"/>
        </right>
        <top style="thin">
          <color auto="1"/>
        </top>
        <bottom style="thin">
          <color auto="1"/>
        </bottom>
      </border>
    </dxf>
    <dxf>
      <font>
        <color rgb="FFFFA298"/>
      </font>
      <fill>
        <patternFill>
          <bgColor rgb="FFFFA298"/>
        </patternFill>
      </fill>
      <border>
        <left style="thin">
          <color auto="1"/>
        </left>
        <right style="thin">
          <color auto="1"/>
        </right>
        <top style="thin">
          <color auto="1"/>
        </top>
        <bottom style="thin">
          <color auto="1"/>
        </bottom>
      </border>
    </dxf>
    <dxf>
      <font>
        <color rgb="FFD5FED6"/>
      </font>
      <fill>
        <patternFill>
          <bgColor rgb="FFD5FED6"/>
        </patternFill>
      </fill>
      <border>
        <left style="thin">
          <color auto="1"/>
        </left>
        <right style="thin">
          <color auto="1"/>
        </right>
        <top style="thin">
          <color auto="1"/>
        </top>
        <bottom style="thin">
          <color auto="1"/>
        </bottom>
      </border>
    </dxf>
    <dxf>
      <font>
        <color rgb="FFFFA298"/>
      </font>
      <fill>
        <patternFill>
          <bgColor rgb="FFFFA298"/>
        </patternFill>
      </fill>
      <border>
        <left style="thin">
          <color auto="1"/>
        </left>
        <right style="thin">
          <color auto="1"/>
        </right>
        <top style="thin">
          <color auto="1"/>
        </top>
        <bottom style="thin">
          <color auto="1"/>
        </bottom>
      </border>
    </dxf>
    <dxf>
      <font>
        <color rgb="FFD5FED6"/>
      </font>
      <fill>
        <patternFill>
          <bgColor rgb="FFD5FED6"/>
        </patternFill>
      </fill>
      <border>
        <left style="thin">
          <color auto="1"/>
        </left>
        <right style="thin">
          <color auto="1"/>
        </right>
        <top style="thin">
          <color auto="1"/>
        </top>
        <bottom style="thin">
          <color auto="1"/>
        </bottom>
      </border>
    </dxf>
    <dxf>
      <font>
        <color rgb="FFFFA298"/>
      </font>
      <fill>
        <patternFill>
          <bgColor rgb="FFFFA298"/>
        </patternFill>
      </fill>
      <border>
        <left style="thin">
          <color auto="1"/>
        </left>
        <right style="thin">
          <color auto="1"/>
        </right>
        <top style="thin">
          <color auto="1"/>
        </top>
        <bottom style="thin">
          <color auto="1"/>
        </bottom>
      </border>
    </dxf>
    <dxf>
      <font>
        <color rgb="FFD5FED6"/>
      </font>
      <fill>
        <patternFill>
          <bgColor rgb="FFD5FED6"/>
        </patternFill>
      </fill>
      <border>
        <left style="thin">
          <color auto="1"/>
        </left>
        <right style="thin">
          <color auto="1"/>
        </right>
        <top style="thin">
          <color auto="1"/>
        </top>
        <bottom style="thin">
          <color auto="1"/>
        </bottom>
      </border>
    </dxf>
    <dxf>
      <font>
        <color rgb="FFFFA298"/>
      </font>
      <fill>
        <patternFill>
          <bgColor rgb="FFFFA298"/>
        </patternFill>
      </fill>
      <border>
        <left style="thin">
          <color auto="1"/>
        </left>
        <right style="thin">
          <color auto="1"/>
        </right>
        <top style="thin">
          <color auto="1"/>
        </top>
        <bottom style="thin">
          <color auto="1"/>
        </bottom>
      </border>
    </dxf>
    <dxf>
      <font>
        <color rgb="FFD5FED6"/>
      </font>
      <fill>
        <patternFill>
          <bgColor rgb="FFD5FED6"/>
        </patternFill>
      </fill>
      <border>
        <left style="thin">
          <color auto="1"/>
        </left>
        <right style="thin">
          <color auto="1"/>
        </right>
        <top style="thin">
          <color auto="1"/>
        </top>
        <bottom style="thin">
          <color auto="1"/>
        </bottom>
      </border>
    </dxf>
    <dxf>
      <font>
        <color rgb="FFFFA298"/>
      </font>
      <fill>
        <patternFill>
          <bgColor rgb="FFFFA298"/>
        </patternFill>
      </fill>
      <border>
        <left style="thin">
          <color auto="1"/>
        </left>
        <right style="thin">
          <color auto="1"/>
        </right>
        <top style="thin">
          <color auto="1"/>
        </top>
        <bottom style="thin">
          <color auto="1"/>
        </bottom>
      </border>
    </dxf>
    <dxf>
      <font>
        <color rgb="FFD5FED6"/>
      </font>
      <fill>
        <patternFill>
          <bgColor rgb="FFD5FED6"/>
        </patternFill>
      </fill>
      <border>
        <left style="thin">
          <color auto="1"/>
        </left>
        <right style="thin">
          <color auto="1"/>
        </right>
        <top style="thin">
          <color auto="1"/>
        </top>
        <bottom style="thin">
          <color auto="1"/>
        </bottom>
      </border>
    </dxf>
    <dxf>
      <font>
        <color rgb="FFFFA298"/>
      </font>
      <fill>
        <patternFill>
          <bgColor rgb="FFFFA298"/>
        </patternFill>
      </fill>
      <border>
        <left style="thin">
          <color auto="1"/>
        </left>
        <right style="thin">
          <color auto="1"/>
        </right>
        <top style="thin">
          <color auto="1"/>
        </top>
        <bottom style="thin">
          <color auto="1"/>
        </bottom>
      </border>
    </dxf>
    <dxf>
      <font>
        <color rgb="FFD5FED6"/>
      </font>
      <fill>
        <patternFill>
          <bgColor rgb="FFD5FED6"/>
        </patternFill>
      </fill>
      <border>
        <left style="thin">
          <color auto="1"/>
        </left>
        <right style="thin">
          <color auto="1"/>
        </right>
        <top style="thin">
          <color auto="1"/>
        </top>
        <bottom style="thin">
          <color auto="1"/>
        </bottom>
      </border>
    </dxf>
    <dxf>
      <font>
        <color rgb="FFFFA298"/>
      </font>
      <fill>
        <patternFill>
          <bgColor rgb="FFFFA298"/>
        </patternFill>
      </fill>
      <border>
        <left style="thin">
          <color auto="1"/>
        </left>
        <right style="thin">
          <color auto="1"/>
        </right>
        <top style="thin">
          <color auto="1"/>
        </top>
        <bottom style="thin">
          <color auto="1"/>
        </bottom>
      </border>
    </dxf>
    <dxf>
      <font>
        <color rgb="FFD5FED6"/>
      </font>
      <fill>
        <patternFill>
          <bgColor rgb="FFD5FED6"/>
        </patternFill>
      </fill>
      <border>
        <left style="thin">
          <color auto="1"/>
        </left>
        <right style="thin">
          <color auto="1"/>
        </right>
        <top style="thin">
          <color auto="1"/>
        </top>
        <bottom style="thin">
          <color auto="1"/>
        </bottom>
      </border>
    </dxf>
    <dxf>
      <font>
        <color rgb="FFFFA298"/>
      </font>
      <fill>
        <patternFill>
          <bgColor rgb="FFFFA298"/>
        </patternFill>
      </fill>
      <border>
        <left style="thin">
          <color auto="1"/>
        </left>
        <right style="thin">
          <color auto="1"/>
        </right>
        <top style="thin">
          <color auto="1"/>
        </top>
        <bottom style="thin">
          <color auto="1"/>
        </bottom>
      </border>
    </dxf>
    <dxf>
      <font>
        <color rgb="FFD5FED6"/>
      </font>
      <fill>
        <patternFill>
          <bgColor rgb="FFD5FED6"/>
        </patternFill>
      </fill>
      <border>
        <left style="thin">
          <color auto="1"/>
        </left>
        <right style="thin">
          <color auto="1"/>
        </right>
        <top style="thin">
          <color auto="1"/>
        </top>
        <bottom style="thin">
          <color auto="1"/>
        </bottom>
      </border>
    </dxf>
    <dxf>
      <font>
        <color rgb="FFFFA298"/>
      </font>
      <fill>
        <patternFill>
          <bgColor rgb="FFFFA298"/>
        </patternFill>
      </fill>
      <border>
        <left style="thin">
          <color auto="1"/>
        </left>
        <right style="thin">
          <color auto="1"/>
        </right>
        <top style="thin">
          <color auto="1"/>
        </top>
        <bottom style="thin">
          <color auto="1"/>
        </bottom>
      </border>
    </dxf>
    <dxf>
      <font>
        <color rgb="FFD5FED6"/>
      </font>
      <fill>
        <patternFill>
          <bgColor rgb="FFD5FED6"/>
        </patternFill>
      </fill>
      <border>
        <left style="thin">
          <color auto="1"/>
        </left>
        <right style="thin">
          <color auto="1"/>
        </right>
        <top style="thin">
          <color auto="1"/>
        </top>
        <bottom style="thin">
          <color auto="1"/>
        </bottom>
      </border>
    </dxf>
    <dxf>
      <font>
        <color rgb="FFFFA298"/>
      </font>
      <fill>
        <patternFill>
          <bgColor rgb="FFFFA298"/>
        </patternFill>
      </fill>
      <border>
        <left style="thin">
          <color auto="1"/>
        </left>
        <right style="thin">
          <color auto="1"/>
        </right>
        <top style="thin">
          <color auto="1"/>
        </top>
        <bottom style="thin">
          <color auto="1"/>
        </bottom>
      </border>
    </dxf>
    <dxf>
      <font>
        <color rgb="FFD5FED6"/>
      </font>
      <fill>
        <patternFill>
          <bgColor rgb="FFD5FED6"/>
        </patternFill>
      </fill>
      <border>
        <left style="thin">
          <color auto="1"/>
        </left>
        <right style="thin">
          <color auto="1"/>
        </right>
        <top style="thin">
          <color auto="1"/>
        </top>
        <bottom style="thin">
          <color auto="1"/>
        </bottom>
      </border>
    </dxf>
    <dxf>
      <font>
        <color rgb="FFFFA298"/>
      </font>
      <fill>
        <patternFill>
          <bgColor rgb="FFFFA298"/>
        </patternFill>
      </fill>
      <border>
        <left style="thin">
          <color auto="1"/>
        </left>
        <right style="thin">
          <color auto="1"/>
        </right>
        <top style="thin">
          <color auto="1"/>
        </top>
        <bottom style="thin">
          <color auto="1"/>
        </bottom>
      </border>
    </dxf>
    <dxf>
      <font>
        <color rgb="FF9C0006"/>
      </font>
      <fill>
        <patternFill>
          <bgColor rgb="FFFFC7CE"/>
        </patternFill>
      </fill>
    </dxf>
    <dxf>
      <font>
        <color rgb="FF006100"/>
      </font>
      <fill>
        <patternFill>
          <bgColor rgb="FFC6EFCE"/>
        </patternFill>
      </fill>
    </dxf>
  </dxfs>
  <tableStyles count="0" defaultTableStyle="TableStyleMedium9" defaultPivotStyle="PivotStyleMedium7"/>
  <colors>
    <mruColors>
      <color rgb="FFEDF8E5"/>
      <color rgb="FFDDF1CA"/>
      <color rgb="FF0432FF"/>
      <color rgb="FFFF7E79"/>
      <color rgb="FFFFAFA1"/>
      <color rgb="FFE0B6F0"/>
      <color rgb="FFFFA298"/>
      <color rgb="FFD5FE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MDM Net Cash Impact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 MDM ROI &amp; NPV'!$B$9</c:f>
              <c:strCache>
                <c:ptCount val="1"/>
                <c:pt idx="0">
                  <c:v>Total MDM Customer Benefit</c:v>
                </c:pt>
              </c:strCache>
            </c:strRef>
          </c:tx>
          <c:spPr>
            <a:solidFill>
              <a:schemeClr val="bg1">
                <a:lumMod val="85000"/>
              </a:schemeClr>
            </a:solidFill>
            <a:ln>
              <a:solidFill>
                <a:schemeClr val="tx1">
                  <a:lumMod val="65000"/>
                  <a:lumOff val="3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 MDM ROI &amp; NPV'!$C$6:$F$6</c:f>
              <c:strCache>
                <c:ptCount val="4"/>
                <c:pt idx="0">
                  <c:v>Year 0</c:v>
                </c:pt>
                <c:pt idx="1">
                  <c:v>Year 1</c:v>
                </c:pt>
                <c:pt idx="2">
                  <c:v>Year 2</c:v>
                </c:pt>
                <c:pt idx="3">
                  <c:v>Year 3</c:v>
                </c:pt>
              </c:strCache>
            </c:strRef>
          </c:cat>
          <c:val>
            <c:numRef>
              <c:f>'6. MDM ROI &amp; NPV'!$C$9:$F$9</c:f>
              <c:numCache>
                <c:formatCode>#,##0.0;[Red]\(#,##0.0\);"-"</c:formatCode>
                <c:ptCount val="4"/>
                <c:pt idx="0">
                  <c:v>0</c:v>
                </c:pt>
                <c:pt idx="1">
                  <c:v>2643294</c:v>
                </c:pt>
                <c:pt idx="2">
                  <c:v>6167686</c:v>
                </c:pt>
                <c:pt idx="3">
                  <c:v>8810980</c:v>
                </c:pt>
              </c:numCache>
            </c:numRef>
          </c:val>
          <c:extLst>
            <c:ext xmlns:c16="http://schemas.microsoft.com/office/drawing/2014/chart" uri="{C3380CC4-5D6E-409C-BE32-E72D297353CC}">
              <c16:uniqueId val="{00000000-BD3F-4A4C-8597-15CD0355788E}"/>
            </c:ext>
          </c:extLst>
        </c:ser>
        <c:ser>
          <c:idx val="1"/>
          <c:order val="1"/>
          <c:tx>
            <c:strRef>
              <c:f>'6. MDM ROI &amp; NPV'!$B$10</c:f>
              <c:strCache>
                <c:ptCount val="1"/>
                <c:pt idx="0">
                  <c:v>Total MDM Product Benefit</c:v>
                </c:pt>
              </c:strCache>
            </c:strRef>
          </c:tx>
          <c:spPr>
            <a:solidFill>
              <a:schemeClr val="accent1">
                <a:lumMod val="75000"/>
              </a:schemeClr>
            </a:solidFill>
            <a:ln>
              <a:solidFill>
                <a:schemeClr val="tx1">
                  <a:lumMod val="65000"/>
                  <a:lumOff val="3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 MDM ROI &amp; NPV'!$C$6:$F$6</c:f>
              <c:strCache>
                <c:ptCount val="4"/>
                <c:pt idx="0">
                  <c:v>Year 0</c:v>
                </c:pt>
                <c:pt idx="1">
                  <c:v>Year 1</c:v>
                </c:pt>
                <c:pt idx="2">
                  <c:v>Year 2</c:v>
                </c:pt>
                <c:pt idx="3">
                  <c:v>Year 3</c:v>
                </c:pt>
              </c:strCache>
            </c:strRef>
          </c:cat>
          <c:val>
            <c:numRef>
              <c:f>'6. MDM ROI &amp; NPV'!$C$10:$F$10</c:f>
              <c:numCache>
                <c:formatCode>#,##0.0;[Red]\(#,##0.0\);"-"</c:formatCode>
                <c:ptCount val="4"/>
                <c:pt idx="0">
                  <c:v>0</c:v>
                </c:pt>
                <c:pt idx="1">
                  <c:v>1805936</c:v>
                </c:pt>
                <c:pt idx="2">
                  <c:v>3386130</c:v>
                </c:pt>
                <c:pt idx="3">
                  <c:v>4514840</c:v>
                </c:pt>
              </c:numCache>
            </c:numRef>
          </c:val>
          <c:extLst>
            <c:ext xmlns:c16="http://schemas.microsoft.com/office/drawing/2014/chart" uri="{C3380CC4-5D6E-409C-BE32-E72D297353CC}">
              <c16:uniqueId val="{00000001-BD3F-4A4C-8597-15CD0355788E}"/>
            </c:ext>
          </c:extLst>
        </c:ser>
        <c:ser>
          <c:idx val="2"/>
          <c:order val="2"/>
          <c:tx>
            <c:strRef>
              <c:f>'6. MDM ROI &amp; NPV'!$B$11</c:f>
              <c:strCache>
                <c:ptCount val="1"/>
                <c:pt idx="0">
                  <c:v>Total Implementaion Costs</c:v>
                </c:pt>
              </c:strCache>
            </c:strRef>
          </c:tx>
          <c:spPr>
            <a:solidFill>
              <a:schemeClr val="lt1"/>
            </a:solidFill>
            <a:ln w="12700" cap="flat" cmpd="sng" algn="ctr">
              <a:solidFill>
                <a:schemeClr val="dk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 MDM ROI &amp; NPV'!$C$6:$F$6</c:f>
              <c:strCache>
                <c:ptCount val="4"/>
                <c:pt idx="0">
                  <c:v>Year 0</c:v>
                </c:pt>
                <c:pt idx="1">
                  <c:v>Year 1</c:v>
                </c:pt>
                <c:pt idx="2">
                  <c:v>Year 2</c:v>
                </c:pt>
                <c:pt idx="3">
                  <c:v>Year 3</c:v>
                </c:pt>
              </c:strCache>
            </c:strRef>
          </c:cat>
          <c:val>
            <c:numRef>
              <c:f>'6. MDM ROI &amp; NPV'!$C$11:$F$11</c:f>
              <c:numCache>
                <c:formatCode>#,##0.0;[Red]\(#,##0.0\);"-"</c:formatCode>
                <c:ptCount val="4"/>
                <c:pt idx="0">
                  <c:v>-20100000</c:v>
                </c:pt>
                <c:pt idx="1">
                  <c:v>-1172475</c:v>
                </c:pt>
                <c:pt idx="2">
                  <c:v>-1172475</c:v>
                </c:pt>
                <c:pt idx="3">
                  <c:v>-1172475</c:v>
                </c:pt>
              </c:numCache>
            </c:numRef>
          </c:val>
          <c:extLst>
            <c:ext xmlns:c16="http://schemas.microsoft.com/office/drawing/2014/chart" uri="{C3380CC4-5D6E-409C-BE32-E72D297353CC}">
              <c16:uniqueId val="{00000002-BD3F-4A4C-8597-15CD0355788E}"/>
            </c:ext>
          </c:extLst>
        </c:ser>
        <c:dLbls>
          <c:showLegendKey val="0"/>
          <c:showVal val="0"/>
          <c:showCatName val="0"/>
          <c:showSerName val="0"/>
          <c:showPercent val="0"/>
          <c:showBubbleSize val="0"/>
        </c:dLbls>
        <c:gapWidth val="150"/>
        <c:overlap val="100"/>
        <c:axId val="-936803808"/>
        <c:axId val="-962103808"/>
      </c:barChart>
      <c:lineChart>
        <c:grouping val="standard"/>
        <c:varyColors val="0"/>
        <c:ser>
          <c:idx val="4"/>
          <c:order val="3"/>
          <c:tx>
            <c:strRef>
              <c:f>'6. MDM ROI &amp; NPV'!$B$13</c:f>
              <c:strCache>
                <c:ptCount val="1"/>
                <c:pt idx="0">
                  <c:v>Annual Net Cash Flow</c:v>
                </c:pt>
              </c:strCache>
            </c:strRef>
          </c:tx>
          <c:spPr>
            <a:ln w="28575" cap="rnd">
              <a:solidFill>
                <a:schemeClr val="accent4">
                  <a:lumMod val="60000"/>
                  <a:lumOff val="40000"/>
                </a:schemeClr>
              </a:solidFill>
              <a:prstDash val="sysDash"/>
              <a:round/>
            </a:ln>
            <a:effectLst/>
          </c:spPr>
          <c:marker>
            <c:symbol val="none"/>
          </c:marker>
          <c:cat>
            <c:strRef>
              <c:f>'6. MDM ROI &amp; NPV'!$C$6:$F$6</c:f>
              <c:strCache>
                <c:ptCount val="4"/>
                <c:pt idx="0">
                  <c:v>Year 0</c:v>
                </c:pt>
                <c:pt idx="1">
                  <c:v>Year 1</c:v>
                </c:pt>
                <c:pt idx="2">
                  <c:v>Year 2</c:v>
                </c:pt>
                <c:pt idx="3">
                  <c:v>Year 3</c:v>
                </c:pt>
              </c:strCache>
            </c:strRef>
          </c:cat>
          <c:val>
            <c:numRef>
              <c:f>'6. MDM ROI &amp; NPV'!$C$13:$F$13</c:f>
              <c:numCache>
                <c:formatCode>#,##0.0;[Red]\(#,##0.0\);"-"</c:formatCode>
                <c:ptCount val="4"/>
                <c:pt idx="0">
                  <c:v>-20100000</c:v>
                </c:pt>
                <c:pt idx="1">
                  <c:v>3276755</c:v>
                </c:pt>
                <c:pt idx="2">
                  <c:v>8381341</c:v>
                </c:pt>
                <c:pt idx="3">
                  <c:v>12153345</c:v>
                </c:pt>
              </c:numCache>
            </c:numRef>
          </c:val>
          <c:smooth val="0"/>
          <c:extLst>
            <c:ext xmlns:c16="http://schemas.microsoft.com/office/drawing/2014/chart" uri="{C3380CC4-5D6E-409C-BE32-E72D297353CC}">
              <c16:uniqueId val="{00000003-BD3F-4A4C-8597-15CD0355788E}"/>
            </c:ext>
          </c:extLst>
        </c:ser>
        <c:ser>
          <c:idx val="5"/>
          <c:order val="4"/>
          <c:tx>
            <c:strRef>
              <c:f>'6. MDM ROI &amp; NPV'!$B$14</c:f>
              <c:strCache>
                <c:ptCount val="1"/>
                <c:pt idx="0">
                  <c:v>Cumalative Cash Flow</c:v>
                </c:pt>
              </c:strCache>
            </c:strRef>
          </c:tx>
          <c:spPr>
            <a:ln w="28575" cap="rnd">
              <a:solidFill>
                <a:srgbClr val="92D050"/>
              </a:solidFill>
              <a:prstDash val="sysDot"/>
              <a:round/>
            </a:ln>
            <a:effectLst/>
          </c:spPr>
          <c:marker>
            <c:symbol val="none"/>
          </c:marker>
          <c:cat>
            <c:strRef>
              <c:f>'6. MDM ROI &amp; NPV'!$C$6:$F$6</c:f>
              <c:strCache>
                <c:ptCount val="4"/>
                <c:pt idx="0">
                  <c:v>Year 0</c:v>
                </c:pt>
                <c:pt idx="1">
                  <c:v>Year 1</c:v>
                </c:pt>
                <c:pt idx="2">
                  <c:v>Year 2</c:v>
                </c:pt>
                <c:pt idx="3">
                  <c:v>Year 3</c:v>
                </c:pt>
              </c:strCache>
            </c:strRef>
          </c:cat>
          <c:val>
            <c:numRef>
              <c:f>'6. MDM ROI &amp; NPV'!$C$14:$F$14</c:f>
              <c:numCache>
                <c:formatCode>#,##0.0;[Red]\(#,##0.0\);"-"</c:formatCode>
                <c:ptCount val="4"/>
                <c:pt idx="0">
                  <c:v>-20100000</c:v>
                </c:pt>
                <c:pt idx="1">
                  <c:v>-16823245</c:v>
                </c:pt>
                <c:pt idx="2">
                  <c:v>-8441904</c:v>
                </c:pt>
                <c:pt idx="3">
                  <c:v>3711441</c:v>
                </c:pt>
              </c:numCache>
            </c:numRef>
          </c:val>
          <c:smooth val="0"/>
          <c:extLst>
            <c:ext xmlns:c16="http://schemas.microsoft.com/office/drawing/2014/chart" uri="{C3380CC4-5D6E-409C-BE32-E72D297353CC}">
              <c16:uniqueId val="{00000004-BD3F-4A4C-8597-15CD0355788E}"/>
            </c:ext>
          </c:extLst>
        </c:ser>
        <c:dLbls>
          <c:showLegendKey val="0"/>
          <c:showVal val="0"/>
          <c:showCatName val="0"/>
          <c:showSerName val="0"/>
          <c:showPercent val="0"/>
          <c:showBubbleSize val="0"/>
        </c:dLbls>
        <c:marker val="1"/>
        <c:smooth val="0"/>
        <c:axId val="-936803808"/>
        <c:axId val="-962103808"/>
      </c:lineChart>
      <c:catAx>
        <c:axId val="-936803808"/>
        <c:scaling>
          <c:orientation val="minMax"/>
        </c:scaling>
        <c:delete val="0"/>
        <c:axPos val="b"/>
        <c:numFmt formatCode="General" sourceLinked="1"/>
        <c:majorTickMark val="none"/>
        <c:minorTickMark val="none"/>
        <c:tickLblPos val="high"/>
        <c:spPr>
          <a:noFill/>
          <a:ln w="19050" cap="flat" cmpd="sng" algn="ctr">
            <a:solidFill>
              <a:schemeClr val="tx1"/>
            </a:solidFill>
            <a:round/>
          </a:ln>
          <a:effectLst/>
        </c:spPr>
        <c:txPr>
          <a:bodyPr rot="-60000000" spcFirstLastPara="1" vertOverflow="ellipsis" vert="horz" wrap="square" anchor="t" anchorCtr="0"/>
          <a:lstStyle/>
          <a:p>
            <a:pPr>
              <a:defRPr sz="900" b="1" i="0" u="none" strike="noStrike" kern="1200" baseline="0">
                <a:solidFill>
                  <a:schemeClr val="tx1">
                    <a:lumMod val="65000"/>
                    <a:lumOff val="35000"/>
                  </a:schemeClr>
                </a:solidFill>
                <a:latin typeface="+mn-lt"/>
                <a:ea typeface="+mn-ea"/>
                <a:cs typeface="+mn-cs"/>
              </a:defRPr>
            </a:pPr>
            <a:endParaRPr lang="en-US"/>
          </a:p>
        </c:txPr>
        <c:crossAx val="-962103808"/>
        <c:crosses val="autoZero"/>
        <c:auto val="1"/>
        <c:lblAlgn val="ctr"/>
        <c:lblOffset val="100"/>
        <c:noMultiLvlLbl val="0"/>
      </c:catAx>
      <c:valAx>
        <c:axId val="-962103808"/>
        <c:scaling>
          <c:orientation val="minMax"/>
        </c:scaling>
        <c:delete val="0"/>
        <c:axPos val="l"/>
        <c:majorGridlines>
          <c:spPr>
            <a:ln w="9525" cap="flat" cmpd="sng" algn="ctr">
              <a:solidFill>
                <a:schemeClr val="tx1">
                  <a:lumMod val="15000"/>
                  <a:lumOff val="85000"/>
                </a:schemeClr>
              </a:solidFill>
              <a:round/>
            </a:ln>
            <a:effectLst/>
          </c:spPr>
        </c:majorGridlines>
        <c:numFmt formatCode="#,##0.0;[Red]\(#,##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6803808"/>
        <c:crosses val="autoZero"/>
        <c:crossBetween val="between"/>
        <c:dispUnits>
          <c:builtInUnit val="thousands"/>
          <c:dispUnitsLbl>
            <c:layout>
              <c:manualLayout>
                <c:xMode val="edge"/>
                <c:yMode val="edge"/>
                <c:x val="3.2989690721649499E-2"/>
                <c:y val="0.45737465509119002"/>
              </c:manualLayout>
            </c:layout>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nchor="ctr" anchorCtr="1"/>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368299</xdr:colOff>
      <xdr:row>11</xdr:row>
      <xdr:rowOff>0</xdr:rowOff>
    </xdr:from>
    <xdr:to>
      <xdr:col>10</xdr:col>
      <xdr:colOff>328140</xdr:colOff>
      <xdr:row>13</xdr:row>
      <xdr:rowOff>88900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46799" y="2235200"/>
          <a:ext cx="2436341" cy="495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20</xdr:row>
      <xdr:rowOff>50800</xdr:rowOff>
    </xdr:from>
    <xdr:to>
      <xdr:col>6</xdr:col>
      <xdr:colOff>0</xdr:colOff>
      <xdr:row>41</xdr:row>
      <xdr:rowOff>152400</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5:K17"/>
  <sheetViews>
    <sheetView showGridLines="0" workbookViewId="0">
      <selection activeCell="G10" sqref="G10:H10"/>
    </sheetView>
  </sheetViews>
  <sheetFormatPr defaultColWidth="10.875" defaultRowHeight="15.75" x14ac:dyDescent="0.25"/>
  <cols>
    <col min="1" max="16384" width="10.875" style="35"/>
  </cols>
  <sheetData>
    <row r="15" spans="8:11" ht="23.25" x14ac:dyDescent="0.25">
      <c r="H15" s="319" t="s">
        <v>154</v>
      </c>
      <c r="I15" s="319"/>
      <c r="J15" s="319"/>
      <c r="K15" s="319"/>
    </row>
    <row r="17" spans="8:11" x14ac:dyDescent="0.25">
      <c r="H17" s="320" t="s">
        <v>155</v>
      </c>
      <c r="I17" s="320"/>
      <c r="J17" s="320"/>
      <c r="K17" s="320"/>
    </row>
  </sheetData>
  <sheetProtection password="B16A" sheet="1" objects="1" scenarios="1"/>
  <mergeCells count="2">
    <mergeCell ref="H15:K15"/>
    <mergeCell ref="H17:K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00"/>
  <sheetViews>
    <sheetView showGridLines="0" topLeftCell="A32" workbookViewId="0">
      <selection activeCell="G10" sqref="G10:H10"/>
    </sheetView>
  </sheetViews>
  <sheetFormatPr defaultColWidth="10.875" defaultRowHeight="15.75" x14ac:dyDescent="0.25"/>
  <cols>
    <col min="1" max="1" width="6.125" style="35" customWidth="1"/>
    <col min="2" max="2" width="3.375" style="35" customWidth="1"/>
    <col min="3" max="3" width="37.125" style="35" bestFit="1" customWidth="1"/>
    <col min="4" max="5" width="21" style="35" customWidth="1"/>
    <col min="6" max="6" width="10.5" style="180" bestFit="1" customWidth="1"/>
    <col min="7" max="7" width="3.375" style="35" customWidth="1"/>
    <col min="8" max="8" width="37.125" style="35" bestFit="1" customWidth="1"/>
    <col min="9" max="10" width="21" style="35" customWidth="1"/>
    <col min="11" max="16384" width="10.875" style="35"/>
  </cols>
  <sheetData>
    <row r="2" spans="2:10" ht="29.25" thickBot="1" x14ac:dyDescent="0.5">
      <c r="B2" s="96" t="s">
        <v>161</v>
      </c>
      <c r="C2" s="65"/>
      <c r="D2" s="66"/>
      <c r="E2" s="66"/>
      <c r="F2" s="168"/>
      <c r="G2" s="66"/>
      <c r="H2" s="66"/>
      <c r="I2" s="66"/>
      <c r="J2" s="66"/>
    </row>
    <row r="4" spans="2:10" ht="30" customHeight="1" x14ac:dyDescent="0.25">
      <c r="B4" s="74"/>
      <c r="C4" s="103" t="str">
        <f>'0. Control Panel'!$C$6</f>
        <v>Departments/Functions</v>
      </c>
      <c r="D4" s="72" t="str">
        <f>'0. Control Panel'!E6</f>
        <v>FTE per Departments/Functions</v>
      </c>
      <c r="E4" s="72" t="s">
        <v>67</v>
      </c>
      <c r="F4" s="169" t="s">
        <v>85</v>
      </c>
    </row>
    <row r="5" spans="2:10" x14ac:dyDescent="0.25">
      <c r="B5" s="170">
        <f>IF(B4="-","-",IF(B4+1&gt;COUNTA('0. Control Panel'!$C$7:$C$16),"-",B4+1))</f>
        <v>1</v>
      </c>
      <c r="C5" s="171" t="str">
        <f>IF(B5="-","-",INDEX('0. Control Panel'!$B$6:$K$16,MATCH(B5,'0. Control Panel'!$B$6:$B$16,0),MATCH(C$4,'0. Control Panel'!$B$6:$K$6,0)))</f>
        <v>IT</v>
      </c>
      <c r="D5" s="172">
        <f>IFERROR(VLOOKUP(C5,'0. Control Panel'!$C$7:$E$16,3,FALSE),0)</f>
        <v>148.5</v>
      </c>
      <c r="E5" s="172">
        <f>SUM('1. FTE Allocations'!F17,'1. FTE Allocations'!F29)</f>
        <v>118.8</v>
      </c>
      <c r="F5" s="173">
        <f>IFERROR(E5/D5,"-")</f>
        <v>0.79999999999999993</v>
      </c>
    </row>
    <row r="6" spans="2:10" x14ac:dyDescent="0.25">
      <c r="B6" s="174">
        <f>IF(B5="-","-",IF(B5+1&gt;COUNTA('0. Control Panel'!$C$7:$C$16),"-",B5+1))</f>
        <v>2</v>
      </c>
      <c r="C6" s="171" t="str">
        <f>IF(B6="-","-",INDEX('0. Control Panel'!$B$6:$K$16,MATCH(B6,'0. Control Panel'!$B$6:$B$16,0),MATCH(C$4,'0. Control Panel'!$B$6:$K$6,0)))</f>
        <v>Sales</v>
      </c>
      <c r="D6" s="172">
        <f>IFERROR(VLOOKUP(C6,'0. Control Panel'!$C$7:$E$16,3,FALSE),0)</f>
        <v>418.5</v>
      </c>
      <c r="E6" s="172">
        <f>SUM('1. FTE Allocations'!F48,'1. FTE Allocations'!F60)</f>
        <v>418.50000000000006</v>
      </c>
      <c r="F6" s="173">
        <f t="shared" ref="F6:F15" si="0">IFERROR(E6/D6,"-")</f>
        <v>1.0000000000000002</v>
      </c>
    </row>
    <row r="7" spans="2:10" x14ac:dyDescent="0.25">
      <c r="B7" s="174">
        <f>IF(B6="-","-",IF(B6+1&gt;COUNTA('0. Control Panel'!$C$7:$C$16),"-",B6+1))</f>
        <v>3</v>
      </c>
      <c r="C7" s="171" t="str">
        <f>IF(B7="-","-",INDEX('0. Control Panel'!$B$6:$K$16,MATCH(B7,'0. Control Panel'!$B$6:$B$16,0),MATCH(C$4,'0. Control Panel'!$B$6:$K$6,0)))</f>
        <v>Product A</v>
      </c>
      <c r="D7" s="172">
        <f>IFERROR(VLOOKUP(C7,'0. Control Panel'!$C$7:$E$16,3,FALSE),0)</f>
        <v>229.50000000000003</v>
      </c>
      <c r="E7" s="172">
        <f>SUM('1. FTE Allocations'!F79,'1. FTE Allocations'!F91)</f>
        <v>195.07500000000005</v>
      </c>
      <c r="F7" s="173">
        <f t="shared" si="0"/>
        <v>0.85000000000000009</v>
      </c>
    </row>
    <row r="8" spans="2:10" x14ac:dyDescent="0.25">
      <c r="B8" s="174">
        <f>IF(B7="-","-",IF(B7+1&gt;COUNTA('0. Control Panel'!$C$7:$C$16),"-",B7+1))</f>
        <v>4</v>
      </c>
      <c r="C8" s="171" t="str">
        <f>IF(B8="-","-",INDEX('0. Control Panel'!$B$6:$K$16,MATCH(B8,'0. Control Panel'!$B$6:$B$16,0),MATCH(C$4,'0. Control Panel'!$B$6:$K$6,0)))</f>
        <v>Product B</v>
      </c>
      <c r="D8" s="172">
        <f>IFERROR(VLOOKUP(C8,'0. Control Panel'!$C$7:$E$16,3,FALSE),0)</f>
        <v>297</v>
      </c>
      <c r="E8" s="172">
        <f>SUM('1. FTE Allocations'!F110,'1. FTE Allocations'!F122)</f>
        <v>252.45000000000002</v>
      </c>
      <c r="F8" s="173">
        <f t="shared" si="0"/>
        <v>0.85000000000000009</v>
      </c>
    </row>
    <row r="9" spans="2:10" x14ac:dyDescent="0.25">
      <c r="B9" s="174">
        <f>IF(B8="-","-",IF(B8+1&gt;COUNTA('0. Control Panel'!$C$7:$C$16),"-",B8+1))</f>
        <v>5</v>
      </c>
      <c r="C9" s="171" t="str">
        <f>IF(B9="-","-",INDEX('0. Control Panel'!$B$6:$K$16,MATCH(B9,'0. Control Panel'!$B$6:$B$16,0),MATCH(C$4,'0. Control Panel'!$B$6:$K$6,0)))</f>
        <v>R&amp;D</v>
      </c>
      <c r="D9" s="172">
        <f>IFERROR(VLOOKUP(C9,'0. Control Panel'!$C$7:$E$16,3,FALSE),0)</f>
        <v>40.5</v>
      </c>
      <c r="E9" s="172">
        <f>SUM('1. FTE Allocations'!F141,'1. FTE Allocations'!F153)</f>
        <v>18.224999999999998</v>
      </c>
      <c r="F9" s="173">
        <f t="shared" si="0"/>
        <v>0.44999999999999996</v>
      </c>
    </row>
    <row r="10" spans="2:10" x14ac:dyDescent="0.25">
      <c r="B10" s="174">
        <f>IF(B9="-","-",IF(B9+1&gt;COUNTA('0. Control Panel'!$C$7:$C$16),"-",B9+1))</f>
        <v>6</v>
      </c>
      <c r="C10" s="171" t="str">
        <f>IF(B10="-","-",INDEX('0. Control Panel'!$B$6:$K$16,MATCH(B10,'0. Control Panel'!$B$6:$B$16,0),MATCH(C$4,'0. Control Panel'!$B$6:$K$6,0)))</f>
        <v>HR</v>
      </c>
      <c r="D10" s="172">
        <f>IFERROR(VLOOKUP(C10,'0. Control Panel'!$C$7:$E$16,3,FALSE),0)</f>
        <v>94.500000000000014</v>
      </c>
      <c r="E10" s="172">
        <f>SUM('1. FTE Allocations'!F172,'1. FTE Allocations'!F184)</f>
        <v>51.975000000000009</v>
      </c>
      <c r="F10" s="173">
        <f t="shared" si="0"/>
        <v>0.55000000000000004</v>
      </c>
    </row>
    <row r="11" spans="2:10" x14ac:dyDescent="0.25">
      <c r="B11" s="174">
        <f>IF(B10="-","-",IF(B10+1&gt;COUNTA('0. Control Panel'!$C$7:$C$16),"-",B10+1))</f>
        <v>7</v>
      </c>
      <c r="C11" s="171" t="str">
        <f>IF(B11="-","-",INDEX('0. Control Panel'!$B$6:$K$16,MATCH(B11,'0. Control Panel'!$B$6:$B$16,0),MATCH(C$4,'0. Control Panel'!$B$6:$K$6,0)))</f>
        <v>Finance</v>
      </c>
      <c r="D11" s="172">
        <f>IFERROR(VLOOKUP(C11,'0. Control Panel'!$C$7:$E$16,3,FALSE),0)</f>
        <v>81</v>
      </c>
      <c r="E11" s="172">
        <f>SUM('1. FTE Allocations'!F203,'1. FTE Allocations'!F215)</f>
        <v>81</v>
      </c>
      <c r="F11" s="173">
        <f t="shared" si="0"/>
        <v>1</v>
      </c>
    </row>
    <row r="12" spans="2:10" x14ac:dyDescent="0.25">
      <c r="B12" s="174">
        <f>IF(B11="-","-",IF(B11+1&gt;COUNTA('0. Control Panel'!$C$7:$C$16),"-",B11+1))</f>
        <v>8</v>
      </c>
      <c r="C12" s="171" t="str">
        <f>IF(B12="-","-",INDEX('0. Control Panel'!$B$6:$K$16,MATCH(B12,'0. Control Panel'!$B$6:$B$16,0),MATCH(C$4,'0. Control Panel'!$B$6:$K$6,0)))</f>
        <v>Head Office</v>
      </c>
      <c r="D12" s="172">
        <f>IFERROR(VLOOKUP(C12,'0. Control Panel'!$C$7:$E$16,3,FALSE),0)</f>
        <v>40.5</v>
      </c>
      <c r="E12" s="172">
        <f>SUM('1. FTE Allocations'!F234,'1. FTE Allocations'!F246)</f>
        <v>36.449999999999996</v>
      </c>
      <c r="F12" s="173">
        <f t="shared" si="0"/>
        <v>0.89999999999999991</v>
      </c>
    </row>
    <row r="13" spans="2:10" x14ac:dyDescent="0.25">
      <c r="B13" s="174" t="str">
        <f>IF(B12="-","-",IF(B12+1&gt;COUNTA('0. Control Panel'!$C$7:$C$16),"-",B12+1))</f>
        <v>-</v>
      </c>
      <c r="C13" s="171" t="str">
        <f>IF(B13="-","-",INDEX('0. Control Panel'!$B$6:$K$16,MATCH(B13,'0. Control Panel'!$B$6:$B$16,0),MATCH(C$4,'0. Control Panel'!$B$6:$K$6,0)))</f>
        <v>-</v>
      </c>
      <c r="D13" s="172">
        <f>IFERROR(VLOOKUP(C13,'0. Control Panel'!$C$7:$E$16,3,FALSE),0)</f>
        <v>0</v>
      </c>
      <c r="E13" s="172">
        <f>SUM('1. FTE Allocations'!F265,'1. FTE Allocations'!F277)</f>
        <v>0</v>
      </c>
      <c r="F13" s="173" t="str">
        <f t="shared" si="0"/>
        <v>-</v>
      </c>
    </row>
    <row r="14" spans="2:10" x14ac:dyDescent="0.25">
      <c r="B14" s="175" t="str">
        <f>IF(B13="-","-",IF(B13+1&gt;COUNTA('0. Control Panel'!$C$7:$C$16),"-",B13+1))</f>
        <v>-</v>
      </c>
      <c r="C14" s="176" t="str">
        <f>IF(B14="-","-",INDEX('0. Control Panel'!$B$6:$K$16,MATCH(B14,'0. Control Panel'!$B$6:$B$16,0),MATCH(C$4,'0. Control Panel'!$B$6:$K$6,0)))</f>
        <v>-</v>
      </c>
      <c r="D14" s="172">
        <f>IFERROR(VLOOKUP(C14,'0. Control Panel'!$C$7:$E$16,3,FALSE),0)</f>
        <v>0</v>
      </c>
      <c r="E14" s="177">
        <f>SUM('1. FTE Allocations'!F296,'1. FTE Allocations'!F308)</f>
        <v>0</v>
      </c>
      <c r="F14" s="173" t="str">
        <f t="shared" si="0"/>
        <v>-</v>
      </c>
    </row>
    <row r="15" spans="2:10" ht="16.5" thickBot="1" x14ac:dyDescent="0.3">
      <c r="C15" s="178" t="s">
        <v>61</v>
      </c>
      <c r="D15" s="179">
        <f>SUM(D5:D14)</f>
        <v>1350</v>
      </c>
      <c r="E15" s="179">
        <f>SUM(E5:E14)</f>
        <v>1172.4750000000001</v>
      </c>
      <c r="F15" s="173">
        <f t="shared" si="0"/>
        <v>0.86850000000000005</v>
      </c>
    </row>
    <row r="16" spans="2:10" ht="16.5" thickTop="1" x14ac:dyDescent="0.25"/>
    <row r="17" spans="2:10" ht="21" x14ac:dyDescent="0.35">
      <c r="B17" s="181" t="s">
        <v>64</v>
      </c>
      <c r="C17" s="41"/>
      <c r="D17" s="37"/>
      <c r="E17" s="37"/>
      <c r="F17" s="182"/>
      <c r="G17" s="37"/>
      <c r="H17" s="37"/>
      <c r="I17" s="37"/>
      <c r="J17" s="37"/>
    </row>
    <row r="18" spans="2:10" ht="9.9499999999999993" customHeight="1" x14ac:dyDescent="0.35">
      <c r="B18" s="183"/>
      <c r="C18" s="184"/>
      <c r="D18" s="184"/>
      <c r="E18" s="184"/>
      <c r="F18" s="185"/>
      <c r="G18" s="184"/>
      <c r="H18" s="184"/>
      <c r="I18" s="184"/>
      <c r="J18" s="184"/>
    </row>
    <row r="19" spans="2:10" x14ac:dyDescent="0.25">
      <c r="C19" s="186" t="str">
        <f>"Cost per Liscnese = "&amp;'0. Control Panel'!D49</f>
        <v>Cost per Liscnese = 100</v>
      </c>
      <c r="E19" s="51" t="s">
        <v>168</v>
      </c>
      <c r="H19" s="186" t="str">
        <f>"Cost of Maitenance per FTE = "&amp;'0. Control Panel'!D50</f>
        <v>Cost of Maitenance per FTE = 50</v>
      </c>
      <c r="J19" s="51" t="s">
        <v>168</v>
      </c>
    </row>
    <row r="20" spans="2:10" ht="18.75" x14ac:dyDescent="0.25">
      <c r="B20" s="187" t="s">
        <v>54</v>
      </c>
      <c r="C20" s="188" t="str">
        <f>INDEX('0. Control Panel'!$B$48:$C$55,MATCH(B20,'0. Control Panel'!$B$48:$B$55,0),2)</f>
        <v>Application Licenses</v>
      </c>
      <c r="D20" s="103" t="s">
        <v>62</v>
      </c>
      <c r="E20" s="103" t="s">
        <v>63</v>
      </c>
      <c r="G20" s="187" t="s">
        <v>55</v>
      </c>
      <c r="H20" s="188" t="str">
        <f>INDEX('0. Control Panel'!$B$48:$C$55,MATCH(G20,'0. Control Panel'!$B$48:$B$55,0),2)</f>
        <v>Annual Maintenance</v>
      </c>
      <c r="I20" s="103" t="s">
        <v>62</v>
      </c>
      <c r="J20" s="103" t="s">
        <v>63</v>
      </c>
    </row>
    <row r="21" spans="2:10" x14ac:dyDescent="0.25">
      <c r="B21" s="74"/>
      <c r="C21" s="189" t="str">
        <f>'0. Control Panel'!$C$6</f>
        <v>Departments/Functions</v>
      </c>
      <c r="G21" s="74"/>
      <c r="H21" s="189" t="str">
        <f>'0. Control Panel'!$C$6</f>
        <v>Departments/Functions</v>
      </c>
    </row>
    <row r="22" spans="2:10" x14ac:dyDescent="0.25">
      <c r="B22" s="170">
        <f>IF(B21="-","-",IF(B21+1&gt;COUNTA('0. Control Panel'!$C$7:$C$16),"-",B21+1))</f>
        <v>1</v>
      </c>
      <c r="C22" s="171" t="str">
        <f>IF(B22="-","-",INDEX('0. Control Panel'!$B$6:$K$16,MATCH(B22,'0. Control Panel'!$B$6:$B$16,0),MATCH(C$4,'0. Control Panel'!$B$6:$K$6,0)))</f>
        <v>IT</v>
      </c>
      <c r="D22" s="190">
        <f>E5*-'0. Control Panel'!$D$49</f>
        <v>-11880</v>
      </c>
      <c r="E22" s="303">
        <v>-100000</v>
      </c>
      <c r="G22" s="170">
        <f>IF(G21="-","-",IF(G21+1&gt;COUNTA('0. Control Panel'!$C$7:$C$16),"-",G21+1))</f>
        <v>1</v>
      </c>
      <c r="H22" s="171" t="str">
        <f>C22</f>
        <v>IT</v>
      </c>
      <c r="I22" s="190">
        <f>E5*-'0. Control Panel'!$D$50</f>
        <v>-5940</v>
      </c>
      <c r="J22" s="303"/>
    </row>
    <row r="23" spans="2:10" x14ac:dyDescent="0.25">
      <c r="B23" s="174">
        <f>IF(B22="-","-",IF(B22+1&gt;COUNTA('0. Control Panel'!$C$7:$C$16),"-",B22+1))</f>
        <v>2</v>
      </c>
      <c r="C23" s="171" t="str">
        <f>IF(B23="-","-",INDEX('0. Control Panel'!$B$6:$K$16,MATCH(B23,'0. Control Panel'!$B$6:$B$16,0),MATCH(C$4,'0. Control Panel'!$B$6:$K$6,0)))</f>
        <v>Sales</v>
      </c>
      <c r="D23" s="191">
        <f>E6*-'0. Control Panel'!$D$49</f>
        <v>-41850.000000000007</v>
      </c>
      <c r="E23" s="304">
        <v>-350000</v>
      </c>
      <c r="G23" s="174">
        <f>IF(G22="-","-",IF(G22+1&gt;COUNTA('0. Control Panel'!$C$7:$C$16),"-",G22+1))</f>
        <v>2</v>
      </c>
      <c r="H23" s="171" t="str">
        <f t="shared" ref="H23:H31" si="1">C23</f>
        <v>Sales</v>
      </c>
      <c r="I23" s="191">
        <f>E6*-'0. Control Panel'!$D$50</f>
        <v>-20925.000000000004</v>
      </c>
      <c r="J23" s="304"/>
    </row>
    <row r="24" spans="2:10" x14ac:dyDescent="0.25">
      <c r="B24" s="174">
        <f>IF(B23="-","-",IF(B23+1&gt;COUNTA('0. Control Panel'!$C$7:$C$16),"-",B23+1))</f>
        <v>3</v>
      </c>
      <c r="C24" s="171" t="str">
        <f>IF(B24="-","-",INDEX('0. Control Panel'!$B$6:$K$16,MATCH(B24,'0. Control Panel'!$B$6:$B$16,0),MATCH(C$4,'0. Control Panel'!$B$6:$K$6,0)))</f>
        <v>Product A</v>
      </c>
      <c r="D24" s="191">
        <f>E7*-'0. Control Panel'!$D$49</f>
        <v>-19507.500000000004</v>
      </c>
      <c r="E24" s="304">
        <v>-100000</v>
      </c>
      <c r="G24" s="174">
        <f>IF(G23="-","-",IF(G23+1&gt;COUNTA('0. Control Panel'!$C$7:$C$16),"-",G23+1))</f>
        <v>3</v>
      </c>
      <c r="H24" s="171" t="str">
        <f t="shared" si="1"/>
        <v>Product A</v>
      </c>
      <c r="I24" s="191">
        <f>E7*-'0. Control Panel'!$D$50</f>
        <v>-9753.7500000000018</v>
      </c>
      <c r="J24" s="304"/>
    </row>
    <row r="25" spans="2:10" x14ac:dyDescent="0.25">
      <c r="B25" s="174">
        <f>IF(B24="-","-",IF(B24+1&gt;COUNTA('0. Control Panel'!$C$7:$C$16),"-",B24+1))</f>
        <v>4</v>
      </c>
      <c r="C25" s="171" t="str">
        <f>IF(B25="-","-",INDEX('0. Control Panel'!$B$6:$K$16,MATCH(B25,'0. Control Panel'!$B$6:$B$16,0),MATCH(C$4,'0. Control Panel'!$B$6:$K$6,0)))</f>
        <v>Product B</v>
      </c>
      <c r="D25" s="191">
        <f>E8*-'0. Control Panel'!$D$49</f>
        <v>-25245</v>
      </c>
      <c r="E25" s="304">
        <v>-100000</v>
      </c>
      <c r="G25" s="174">
        <f>IF(G24="-","-",IF(G24+1&gt;COUNTA('0. Control Panel'!$C$7:$C$16),"-",G24+1))</f>
        <v>4</v>
      </c>
      <c r="H25" s="171" t="str">
        <f t="shared" si="1"/>
        <v>Product B</v>
      </c>
      <c r="I25" s="191">
        <f>E8*-'0. Control Panel'!$D$50</f>
        <v>-12622.5</v>
      </c>
      <c r="J25" s="304"/>
    </row>
    <row r="26" spans="2:10" x14ac:dyDescent="0.25">
      <c r="B26" s="174">
        <f>IF(B25="-","-",IF(B25+1&gt;COUNTA('0. Control Panel'!$C$7:$C$16),"-",B25+1))</f>
        <v>5</v>
      </c>
      <c r="C26" s="171" t="str">
        <f>IF(B26="-","-",INDEX('0. Control Panel'!$B$6:$K$16,MATCH(B26,'0. Control Panel'!$B$6:$B$16,0),MATCH(C$4,'0. Control Panel'!$B$6:$K$6,0)))</f>
        <v>R&amp;D</v>
      </c>
      <c r="D26" s="191">
        <f>E9*-'0. Control Panel'!$D$49</f>
        <v>-1822.4999999999998</v>
      </c>
      <c r="E26" s="304"/>
      <c r="G26" s="174">
        <f>IF(G25="-","-",IF(G25+1&gt;COUNTA('0. Control Panel'!$C$7:$C$16),"-",G25+1))</f>
        <v>5</v>
      </c>
      <c r="H26" s="171" t="str">
        <f t="shared" si="1"/>
        <v>R&amp;D</v>
      </c>
      <c r="I26" s="191">
        <f>E9*-'0. Control Panel'!$D$50</f>
        <v>-911.24999999999989</v>
      </c>
      <c r="J26" s="304"/>
    </row>
    <row r="27" spans="2:10" x14ac:dyDescent="0.25">
      <c r="B27" s="174">
        <f>IF(B26="-","-",IF(B26+1&gt;COUNTA('0. Control Panel'!$C$7:$C$16),"-",B26+1))</f>
        <v>6</v>
      </c>
      <c r="C27" s="171" t="str">
        <f>IF(B27="-","-",INDEX('0. Control Panel'!$B$6:$K$16,MATCH(B27,'0. Control Panel'!$B$6:$B$16,0),MATCH(C$4,'0. Control Panel'!$B$6:$K$6,0)))</f>
        <v>HR</v>
      </c>
      <c r="D27" s="191">
        <f>E10*-'0. Control Panel'!$D$49</f>
        <v>-5197.5000000000009</v>
      </c>
      <c r="E27" s="304">
        <v>-50000</v>
      </c>
      <c r="G27" s="174">
        <f>IF(G26="-","-",IF(G26+1&gt;COUNTA('0. Control Panel'!$C$7:$C$16),"-",G26+1))</f>
        <v>6</v>
      </c>
      <c r="H27" s="171" t="str">
        <f t="shared" si="1"/>
        <v>HR</v>
      </c>
      <c r="I27" s="191">
        <f>E10*-'0. Control Panel'!$D$50</f>
        <v>-2598.7500000000005</v>
      </c>
      <c r="J27" s="304"/>
    </row>
    <row r="28" spans="2:10" x14ac:dyDescent="0.25">
      <c r="B28" s="174">
        <f>IF(B27="-","-",IF(B27+1&gt;COUNTA('0. Control Panel'!$C$7:$C$16),"-",B27+1))</f>
        <v>7</v>
      </c>
      <c r="C28" s="171" t="str">
        <f>IF(B28="-","-",INDEX('0. Control Panel'!$B$6:$K$16,MATCH(B28,'0. Control Panel'!$B$6:$B$16,0),MATCH(C$4,'0. Control Panel'!$B$6:$K$6,0)))</f>
        <v>Finance</v>
      </c>
      <c r="D28" s="191">
        <f>E11*-'0. Control Panel'!$D$49</f>
        <v>-8100</v>
      </c>
      <c r="E28" s="304">
        <v>-50000</v>
      </c>
      <c r="G28" s="174">
        <f>IF(G27="-","-",IF(G27+1&gt;COUNTA('0. Control Panel'!$C$7:$C$16),"-",G27+1))</f>
        <v>7</v>
      </c>
      <c r="H28" s="171" t="str">
        <f t="shared" si="1"/>
        <v>Finance</v>
      </c>
      <c r="I28" s="191">
        <f>E11*-'0. Control Panel'!$D$50</f>
        <v>-4050</v>
      </c>
      <c r="J28" s="304"/>
    </row>
    <row r="29" spans="2:10" x14ac:dyDescent="0.25">
      <c r="B29" s="174">
        <f>IF(B28="-","-",IF(B28+1&gt;COUNTA('0. Control Panel'!$C$7:$C$16),"-",B28+1))</f>
        <v>8</v>
      </c>
      <c r="C29" s="171" t="str">
        <f>IF(B29="-","-",INDEX('0. Control Panel'!$B$6:$K$16,MATCH(B29,'0. Control Panel'!$B$6:$B$16,0),MATCH(C$4,'0. Control Panel'!$B$6:$K$6,0)))</f>
        <v>Head Office</v>
      </c>
      <c r="D29" s="191">
        <f>E12*-'0. Control Panel'!$D$49</f>
        <v>-3644.9999999999995</v>
      </c>
      <c r="E29" s="304">
        <v>-20000</v>
      </c>
      <c r="G29" s="174">
        <f>IF(G28="-","-",IF(G28+1&gt;COUNTA('0. Control Panel'!$C$7:$C$16),"-",G28+1))</f>
        <v>8</v>
      </c>
      <c r="H29" s="171" t="str">
        <f t="shared" si="1"/>
        <v>Head Office</v>
      </c>
      <c r="I29" s="191">
        <f>E12*-'0. Control Panel'!$D$50</f>
        <v>-1822.4999999999998</v>
      </c>
      <c r="J29" s="304"/>
    </row>
    <row r="30" spans="2:10" x14ac:dyDescent="0.25">
      <c r="B30" s="174" t="str">
        <f>IF(B29="-","-",IF(B29+1&gt;COUNTA('0. Control Panel'!$C$7:$C$16),"-",B29+1))</f>
        <v>-</v>
      </c>
      <c r="C30" s="171" t="str">
        <f>IF(B30="-","-",INDEX('0. Control Panel'!$B$6:$K$16,MATCH(B30,'0. Control Panel'!$B$6:$B$16,0),MATCH(C$4,'0. Control Panel'!$B$6:$K$6,0)))</f>
        <v>-</v>
      </c>
      <c r="D30" s="191">
        <f>E13*-'0. Control Panel'!$D$49</f>
        <v>0</v>
      </c>
      <c r="E30" s="304"/>
      <c r="G30" s="174" t="str">
        <f>IF(G29="-","-",IF(G29+1&gt;COUNTA('0. Control Panel'!$C$7:$C$16),"-",G29+1))</f>
        <v>-</v>
      </c>
      <c r="H30" s="171" t="str">
        <f t="shared" si="1"/>
        <v>-</v>
      </c>
      <c r="I30" s="191">
        <f>E13*-'0. Control Panel'!$D$50</f>
        <v>0</v>
      </c>
      <c r="J30" s="304"/>
    </row>
    <row r="31" spans="2:10" x14ac:dyDescent="0.25">
      <c r="B31" s="175" t="str">
        <f>IF(B30="-","-",IF(B30+1&gt;COUNTA('0. Control Panel'!$C$7:$C$16),"-",B30+1))</f>
        <v>-</v>
      </c>
      <c r="C31" s="176" t="str">
        <f>IF(B31="-","-",INDEX('0. Control Panel'!$B$6:$K$16,MATCH(B31,'0. Control Panel'!$B$6:$B$16,0),MATCH(C$4,'0. Control Panel'!$B$6:$K$6,0)))</f>
        <v>-</v>
      </c>
      <c r="D31" s="192">
        <f>E14*-'0. Control Panel'!$D$49</f>
        <v>0</v>
      </c>
      <c r="E31" s="305"/>
      <c r="G31" s="175" t="str">
        <f>IF(G30="-","-",IF(G30+1&gt;COUNTA('0. Control Panel'!$C$7:$C$16),"-",G30+1))</f>
        <v>-</v>
      </c>
      <c r="H31" s="171" t="str">
        <f t="shared" si="1"/>
        <v>-</v>
      </c>
      <c r="I31" s="192">
        <f>E14*-'0. Control Panel'!$D$50</f>
        <v>0</v>
      </c>
      <c r="J31" s="305"/>
    </row>
    <row r="32" spans="2:10" ht="16.5" thickBot="1" x14ac:dyDescent="0.3">
      <c r="C32" s="81" t="str">
        <f>"All "&amp;C21</f>
        <v>All Departments/Functions</v>
      </c>
      <c r="D32" s="131">
        <f>SUM(D22:D31)</f>
        <v>-117247.50000000001</v>
      </c>
      <c r="E32" s="131">
        <f>SUM(E22:E31)</f>
        <v>-770000</v>
      </c>
      <c r="H32" s="81" t="str">
        <f>C32</f>
        <v>All Departments/Functions</v>
      </c>
      <c r="I32" s="131">
        <f>SUM(I22:I31)</f>
        <v>-58623.750000000007</v>
      </c>
      <c r="J32" s="131">
        <f>SUM(J22:J31)</f>
        <v>0</v>
      </c>
    </row>
    <row r="33" spans="2:10" ht="16.5" thickTop="1" x14ac:dyDescent="0.25"/>
    <row r="34" spans="2:10" ht="21" x14ac:dyDescent="0.35">
      <c r="B34" s="181" t="s">
        <v>65</v>
      </c>
      <c r="C34" s="41"/>
      <c r="D34" s="37"/>
      <c r="E34" s="37"/>
      <c r="F34" s="182"/>
      <c r="G34" s="37"/>
      <c r="H34" s="37"/>
      <c r="I34" s="37"/>
      <c r="J34" s="37"/>
    </row>
    <row r="35" spans="2:10" ht="9.9499999999999993" customHeight="1" x14ac:dyDescent="0.35">
      <c r="B35" s="183"/>
      <c r="C35" s="184"/>
      <c r="D35" s="184"/>
      <c r="E35" s="184"/>
      <c r="F35" s="185"/>
      <c r="G35" s="184"/>
      <c r="H35" s="184"/>
      <c r="I35" s="184"/>
      <c r="J35" s="184"/>
    </row>
    <row r="36" spans="2:10" x14ac:dyDescent="0.25">
      <c r="C36" s="186" t="str">
        <f>"Cost per FTE for "&amp;'0. Control Panel'!C51&amp;" = "&amp;'0. Control Panel'!D51</f>
        <v>Cost per FTE for Removal of Existing Software = 100</v>
      </c>
      <c r="E36" s="51" t="s">
        <v>168</v>
      </c>
      <c r="H36" s="186" t="str">
        <f>"Cost per FTE for "&amp;'0. Control Panel'!C52&amp;" = "&amp;'0. Control Panel'!D52</f>
        <v>Cost per FTE for Implementation of New Software = 200</v>
      </c>
      <c r="J36" s="51" t="s">
        <v>168</v>
      </c>
    </row>
    <row r="37" spans="2:10" ht="18.75" x14ac:dyDescent="0.25">
      <c r="B37" s="187" t="s">
        <v>56</v>
      </c>
      <c r="C37" s="188" t="str">
        <f>INDEX('0. Control Panel'!$B$48:$C$55,MATCH(B37,'0. Control Panel'!$B$48:$B$55,0),2)</f>
        <v>Removal of Existing Software</v>
      </c>
      <c r="D37" s="103" t="s">
        <v>62</v>
      </c>
      <c r="E37" s="103" t="s">
        <v>63</v>
      </c>
      <c r="G37" s="187" t="s">
        <v>57</v>
      </c>
      <c r="H37" s="188" t="str">
        <f>INDEX('0. Control Panel'!$B$48:$C$55,MATCH(G37,'0. Control Panel'!$B$48:$B$55,0),2)</f>
        <v>Implementation of New Software</v>
      </c>
      <c r="I37" s="103" t="s">
        <v>62</v>
      </c>
      <c r="J37" s="103" t="s">
        <v>63</v>
      </c>
    </row>
    <row r="38" spans="2:10" x14ac:dyDescent="0.25">
      <c r="B38" s="74"/>
      <c r="C38" s="189" t="str">
        <f>'0. Control Panel'!$C$6</f>
        <v>Departments/Functions</v>
      </c>
      <c r="G38" s="74"/>
      <c r="H38" s="189" t="str">
        <f>'0. Control Panel'!$C$6</f>
        <v>Departments/Functions</v>
      </c>
    </row>
    <row r="39" spans="2:10" x14ac:dyDescent="0.25">
      <c r="B39" s="170">
        <f>IF(B38="-","-",IF(B38+1&gt;COUNTA('0. Control Panel'!$C$7:$C$16),"-",B38+1))</f>
        <v>1</v>
      </c>
      <c r="C39" s="171" t="str">
        <f>IF(B39="-","-",INDEX('0. Control Panel'!$B$6:$K$16,MATCH(B39,'0. Control Panel'!$B$6:$B$16,0),MATCH(C$4,'0. Control Panel'!$B$6:$K$6,0)))</f>
        <v>IT</v>
      </c>
      <c r="D39" s="190">
        <f>E5*-'0. Control Panel'!$D$51</f>
        <v>-11880</v>
      </c>
      <c r="E39" s="303">
        <v>-50000</v>
      </c>
      <c r="G39" s="170">
        <f>IF(G38="-","-",IF(G38+1&gt;COUNTA('0. Control Panel'!$C$7:$C$16),"-",G38+1))</f>
        <v>1</v>
      </c>
      <c r="H39" s="171" t="str">
        <f>C39</f>
        <v>IT</v>
      </c>
      <c r="I39" s="190">
        <f>E5*-'0. Control Panel'!$D$52</f>
        <v>-23760</v>
      </c>
      <c r="J39" s="303"/>
    </row>
    <row r="40" spans="2:10" x14ac:dyDescent="0.25">
      <c r="B40" s="174">
        <f>IF(B39="-","-",IF(B39+1&gt;COUNTA('0. Control Panel'!$C$7:$C$16),"-",B39+1))</f>
        <v>2</v>
      </c>
      <c r="C40" s="171" t="str">
        <f>IF(B40="-","-",INDEX('0. Control Panel'!$B$6:$K$16,MATCH(B40,'0. Control Panel'!$B$6:$B$16,0),MATCH(C$4,'0. Control Panel'!$B$6:$K$6,0)))</f>
        <v>Sales</v>
      </c>
      <c r="D40" s="190">
        <f>E6*-'0. Control Panel'!$D$51</f>
        <v>-41850.000000000007</v>
      </c>
      <c r="E40" s="303">
        <v>-60000</v>
      </c>
      <c r="G40" s="174">
        <f>IF(G39="-","-",IF(G39+1&gt;COUNTA('0. Control Panel'!$C$7:$C$16),"-",G39+1))</f>
        <v>2</v>
      </c>
      <c r="H40" s="171" t="str">
        <f t="shared" ref="H40:H48" si="2">C40</f>
        <v>Sales</v>
      </c>
      <c r="I40" s="190">
        <f>E6*-'0. Control Panel'!$D$52</f>
        <v>-83700.000000000015</v>
      </c>
      <c r="J40" s="303">
        <v>-450000</v>
      </c>
    </row>
    <row r="41" spans="2:10" x14ac:dyDescent="0.25">
      <c r="B41" s="174">
        <f>IF(B40="-","-",IF(B40+1&gt;COUNTA('0. Control Panel'!$C$7:$C$16),"-",B40+1))</f>
        <v>3</v>
      </c>
      <c r="C41" s="171" t="str">
        <f>IF(B41="-","-",INDEX('0. Control Panel'!$B$6:$K$16,MATCH(B41,'0. Control Panel'!$B$6:$B$16,0),MATCH(C$4,'0. Control Panel'!$B$6:$K$6,0)))</f>
        <v>Product A</v>
      </c>
      <c r="D41" s="191">
        <f>E7*-'0. Control Panel'!$D$51</f>
        <v>-19507.500000000004</v>
      </c>
      <c r="E41" s="304">
        <v>-40000</v>
      </c>
      <c r="G41" s="174">
        <f>IF(G40="-","-",IF(G40+1&gt;COUNTA('0. Control Panel'!$C$7:$C$16),"-",G40+1))</f>
        <v>3</v>
      </c>
      <c r="H41" s="171" t="str">
        <f t="shared" si="2"/>
        <v>Product A</v>
      </c>
      <c r="I41" s="190">
        <f>E7*-'0. Control Panel'!$D$52</f>
        <v>-39015.000000000007</v>
      </c>
      <c r="J41" s="303"/>
    </row>
    <row r="42" spans="2:10" x14ac:dyDescent="0.25">
      <c r="B42" s="174">
        <f>IF(B41="-","-",IF(B41+1&gt;COUNTA('0. Control Panel'!$C$7:$C$16),"-",B41+1))</f>
        <v>4</v>
      </c>
      <c r="C42" s="171" t="str">
        <f>IF(B42="-","-",INDEX('0. Control Panel'!$B$6:$K$16,MATCH(B42,'0. Control Panel'!$B$6:$B$16,0),MATCH(C$4,'0. Control Panel'!$B$6:$K$6,0)))</f>
        <v>Product B</v>
      </c>
      <c r="D42" s="191">
        <f>E8*-'0. Control Panel'!$D$51</f>
        <v>-25245</v>
      </c>
      <c r="E42" s="304">
        <v>-40000</v>
      </c>
      <c r="G42" s="174">
        <f>IF(G41="-","-",IF(G41+1&gt;COUNTA('0. Control Panel'!$C$7:$C$16),"-",G41+1))</f>
        <v>4</v>
      </c>
      <c r="H42" s="171" t="str">
        <f t="shared" si="2"/>
        <v>Product B</v>
      </c>
      <c r="I42" s="190">
        <f>E8*-'0. Control Panel'!$D$52</f>
        <v>-50490</v>
      </c>
      <c r="J42" s="303"/>
    </row>
    <row r="43" spans="2:10" x14ac:dyDescent="0.25">
      <c r="B43" s="174">
        <f>IF(B42="-","-",IF(B42+1&gt;COUNTA('0. Control Panel'!$C$7:$C$16),"-",B42+1))</f>
        <v>5</v>
      </c>
      <c r="C43" s="171" t="str">
        <f>IF(B43="-","-",INDEX('0. Control Panel'!$B$6:$K$16,MATCH(B43,'0. Control Panel'!$B$6:$B$16,0),MATCH(C$4,'0. Control Panel'!$B$6:$K$6,0)))</f>
        <v>R&amp;D</v>
      </c>
      <c r="D43" s="191">
        <f>E9*-'0. Control Panel'!$D$51</f>
        <v>-1822.4999999999998</v>
      </c>
      <c r="E43" s="304"/>
      <c r="G43" s="174">
        <f>IF(G42="-","-",IF(G42+1&gt;COUNTA('0. Control Panel'!$C$7:$C$16),"-",G42+1))</f>
        <v>5</v>
      </c>
      <c r="H43" s="171" t="str">
        <f t="shared" si="2"/>
        <v>R&amp;D</v>
      </c>
      <c r="I43" s="190">
        <f>E9*-'0. Control Panel'!$D$52</f>
        <v>-3644.9999999999995</v>
      </c>
      <c r="J43" s="303"/>
    </row>
    <row r="44" spans="2:10" x14ac:dyDescent="0.25">
      <c r="B44" s="174">
        <f>IF(B43="-","-",IF(B43+1&gt;COUNTA('0. Control Panel'!$C$7:$C$16),"-",B43+1))</f>
        <v>6</v>
      </c>
      <c r="C44" s="171" t="str">
        <f>IF(B44="-","-",INDEX('0. Control Panel'!$B$6:$K$16,MATCH(B44,'0. Control Panel'!$B$6:$B$16,0),MATCH(C$4,'0. Control Panel'!$B$6:$K$6,0)))</f>
        <v>HR</v>
      </c>
      <c r="D44" s="191">
        <f>E10*-'0. Control Panel'!$D$51</f>
        <v>-5197.5000000000009</v>
      </c>
      <c r="E44" s="304"/>
      <c r="G44" s="174">
        <f>IF(G43="-","-",IF(G43+1&gt;COUNTA('0. Control Panel'!$C$7:$C$16),"-",G43+1))</f>
        <v>6</v>
      </c>
      <c r="H44" s="171" t="str">
        <f t="shared" si="2"/>
        <v>HR</v>
      </c>
      <c r="I44" s="190">
        <f>E10*-'0. Control Panel'!$D$52</f>
        <v>-10395.000000000002</v>
      </c>
      <c r="J44" s="303"/>
    </row>
    <row r="45" spans="2:10" x14ac:dyDescent="0.25">
      <c r="B45" s="174">
        <f>IF(B44="-","-",IF(B44+1&gt;COUNTA('0. Control Panel'!$C$7:$C$16),"-",B44+1))</f>
        <v>7</v>
      </c>
      <c r="C45" s="171" t="str">
        <f>IF(B45="-","-",INDEX('0. Control Panel'!$B$6:$K$16,MATCH(B45,'0. Control Panel'!$B$6:$B$16,0),MATCH(C$4,'0. Control Panel'!$B$6:$K$6,0)))</f>
        <v>Finance</v>
      </c>
      <c r="D45" s="191">
        <f>E11*-'0. Control Panel'!$D$51</f>
        <v>-8100</v>
      </c>
      <c r="E45" s="304"/>
      <c r="G45" s="174">
        <f>IF(G44="-","-",IF(G44+1&gt;COUNTA('0. Control Panel'!$C$7:$C$16),"-",G44+1))</f>
        <v>7</v>
      </c>
      <c r="H45" s="171" t="str">
        <f t="shared" si="2"/>
        <v>Finance</v>
      </c>
      <c r="I45" s="190">
        <f>E11*-'0. Control Panel'!$D$52</f>
        <v>-16200</v>
      </c>
      <c r="J45" s="303"/>
    </row>
    <row r="46" spans="2:10" x14ac:dyDescent="0.25">
      <c r="B46" s="174">
        <f>IF(B45="-","-",IF(B45+1&gt;COUNTA('0. Control Panel'!$C$7:$C$16),"-",B45+1))</f>
        <v>8</v>
      </c>
      <c r="C46" s="171" t="str">
        <f>IF(B46="-","-",INDEX('0. Control Panel'!$B$6:$K$16,MATCH(B46,'0. Control Panel'!$B$6:$B$16,0),MATCH(C$4,'0. Control Panel'!$B$6:$K$6,0)))</f>
        <v>Head Office</v>
      </c>
      <c r="D46" s="191">
        <f>E12*-'0. Control Panel'!$D$51</f>
        <v>-3644.9999999999995</v>
      </c>
      <c r="E46" s="304"/>
      <c r="G46" s="174">
        <f>IF(G45="-","-",IF(G45+1&gt;COUNTA('0. Control Panel'!$C$7:$C$16),"-",G45+1))</f>
        <v>8</v>
      </c>
      <c r="H46" s="171" t="str">
        <f t="shared" si="2"/>
        <v>Head Office</v>
      </c>
      <c r="I46" s="190">
        <f>E12*-'0. Control Panel'!$D$52</f>
        <v>-7289.9999999999991</v>
      </c>
      <c r="J46" s="303"/>
    </row>
    <row r="47" spans="2:10" x14ac:dyDescent="0.25">
      <c r="B47" s="174" t="str">
        <f>IF(B46="-","-",IF(B46+1&gt;COUNTA('0. Control Panel'!$C$7:$C$16),"-",B46+1))</f>
        <v>-</v>
      </c>
      <c r="C47" s="171" t="str">
        <f>IF(B47="-","-",INDEX('0. Control Panel'!$B$6:$K$16,MATCH(B47,'0. Control Panel'!$B$6:$B$16,0),MATCH(C$4,'0. Control Panel'!$B$6:$K$6,0)))</f>
        <v>-</v>
      </c>
      <c r="D47" s="191">
        <f>E13*-'0. Control Panel'!$D$51</f>
        <v>0</v>
      </c>
      <c r="E47" s="304"/>
      <c r="G47" s="174" t="str">
        <f>IF(G46="-","-",IF(G46+1&gt;COUNTA('0. Control Panel'!$C$7:$C$16),"-",G46+1))</f>
        <v>-</v>
      </c>
      <c r="H47" s="171" t="str">
        <f t="shared" si="2"/>
        <v>-</v>
      </c>
      <c r="I47" s="190">
        <f>E13*-'0. Control Panel'!$D$52</f>
        <v>0</v>
      </c>
      <c r="J47" s="303"/>
    </row>
    <row r="48" spans="2:10" x14ac:dyDescent="0.25">
      <c r="B48" s="175" t="str">
        <f>IF(B47="-","-",IF(B47+1&gt;COUNTA('0. Control Panel'!$C$7:$C$16),"-",B47+1))</f>
        <v>-</v>
      </c>
      <c r="C48" s="176" t="str">
        <f>IF(B48="-","-",INDEX('0. Control Panel'!$B$6:$K$16,MATCH(B48,'0. Control Panel'!$B$6:$B$16,0),MATCH(C$4,'0. Control Panel'!$B$6:$K$6,0)))</f>
        <v>-</v>
      </c>
      <c r="D48" s="191">
        <f>E14*-'0. Control Panel'!$D$51</f>
        <v>0</v>
      </c>
      <c r="E48" s="304"/>
      <c r="G48" s="175" t="str">
        <f>IF(G47="-","-",IF(G47+1&gt;COUNTA('0. Control Panel'!$C$7:$C$16),"-",G47+1))</f>
        <v>-</v>
      </c>
      <c r="H48" s="171" t="str">
        <f t="shared" si="2"/>
        <v>-</v>
      </c>
      <c r="I48" s="190">
        <f>J14*-'0. Control Panel'!$D$51</f>
        <v>0</v>
      </c>
      <c r="J48" s="303"/>
    </row>
    <row r="49" spans="2:10" ht="16.5" thickBot="1" x14ac:dyDescent="0.3">
      <c r="C49" s="81" t="str">
        <f>C32</f>
        <v>All Departments/Functions</v>
      </c>
      <c r="D49" s="131">
        <f>SUM(D39:D48)</f>
        <v>-117247.50000000001</v>
      </c>
      <c r="E49" s="131">
        <f>SUM(E39:E48)</f>
        <v>-190000</v>
      </c>
      <c r="H49" s="81" t="str">
        <f>C49</f>
        <v>All Departments/Functions</v>
      </c>
      <c r="I49" s="131">
        <f>SUM(I39:I48)</f>
        <v>-234495.00000000003</v>
      </c>
      <c r="J49" s="131">
        <f>SUM(J39:J48)</f>
        <v>-450000</v>
      </c>
    </row>
    <row r="50" spans="2:10" ht="16.5" thickTop="1" x14ac:dyDescent="0.25"/>
    <row r="51" spans="2:10" ht="21" x14ac:dyDescent="0.35">
      <c r="B51" s="181" t="s">
        <v>66</v>
      </c>
      <c r="C51" s="41"/>
      <c r="D51" s="37"/>
      <c r="E51" s="37"/>
      <c r="F51" s="182"/>
      <c r="G51" s="37"/>
      <c r="H51" s="37"/>
      <c r="I51" s="37"/>
      <c r="J51" s="37"/>
    </row>
    <row r="52" spans="2:10" ht="9.9499999999999993" customHeight="1" x14ac:dyDescent="0.35">
      <c r="B52" s="183"/>
      <c r="C52" s="184"/>
      <c r="D52" s="184"/>
      <c r="E52" s="184"/>
      <c r="F52" s="185"/>
      <c r="G52" s="184"/>
      <c r="H52" s="184"/>
      <c r="I52" s="184"/>
      <c r="J52" s="184"/>
    </row>
    <row r="53" spans="2:10" x14ac:dyDescent="0.25">
      <c r="C53" s="186" t="str">
        <f>"Cost per FTE for "&amp;'0. Control Panel'!C53&amp;" = "&amp;'0. Control Panel'!D53</f>
        <v>Cost per FTE for New Hardware/Infrastructure = 500</v>
      </c>
      <c r="E53" s="51" t="s">
        <v>168</v>
      </c>
    </row>
    <row r="54" spans="2:10" ht="18.75" x14ac:dyDescent="0.25">
      <c r="B54" s="187" t="s">
        <v>58</v>
      </c>
      <c r="C54" s="188" t="str">
        <f>INDEX('0. Control Panel'!$B$48:$C$55,MATCH(B54,'0. Control Panel'!$B$48:$B$55,0),2)</f>
        <v>New Hardware/Infrastructure</v>
      </c>
      <c r="D54" s="103" t="s">
        <v>62</v>
      </c>
      <c r="E54" s="103" t="s">
        <v>63</v>
      </c>
    </row>
    <row r="55" spans="2:10" x14ac:dyDescent="0.25">
      <c r="B55" s="74"/>
      <c r="C55" s="189" t="str">
        <f>'0. Control Panel'!$C$6</f>
        <v>Departments/Functions</v>
      </c>
    </row>
    <row r="56" spans="2:10" x14ac:dyDescent="0.25">
      <c r="B56" s="170">
        <f>IF(B55="-","-",IF(B55+1&gt;COUNTA('0. Control Panel'!$C$7:$C$16),"-",B55+1))</f>
        <v>1</v>
      </c>
      <c r="C56" s="171" t="str">
        <f>IF(B56="-","-",INDEX('0. Control Panel'!$B$6:$K$16,MATCH(B56,'0. Control Panel'!$B$6:$B$16,0),MATCH(C$4,'0. Control Panel'!$B$6:$K$6,0)))</f>
        <v>IT</v>
      </c>
      <c r="D56" s="190">
        <f>E5*-'0. Control Panel'!$D$53</f>
        <v>-59400</v>
      </c>
      <c r="E56" s="303">
        <v>-2100000</v>
      </c>
    </row>
    <row r="57" spans="2:10" x14ac:dyDescent="0.25">
      <c r="B57" s="174">
        <f>IF(B56="-","-",IF(B56+1&gt;COUNTA('0. Control Panel'!$C$7:$C$16),"-",B56+1))</f>
        <v>2</v>
      </c>
      <c r="C57" s="171" t="str">
        <f>IF(B57="-","-",INDEX('0. Control Panel'!$B$6:$K$16,MATCH(B57,'0. Control Panel'!$B$6:$B$16,0),MATCH(C$4,'0. Control Panel'!$B$6:$K$6,0)))</f>
        <v>Sales</v>
      </c>
      <c r="D57" s="190">
        <f>E6*-'0. Control Panel'!$D$53</f>
        <v>-209250.00000000003</v>
      </c>
      <c r="E57" s="303">
        <v>-150000</v>
      </c>
    </row>
    <row r="58" spans="2:10" x14ac:dyDescent="0.25">
      <c r="B58" s="174">
        <f>IF(B57="-","-",IF(B57+1&gt;COUNTA('0. Control Panel'!$C$7:$C$16),"-",B57+1))</f>
        <v>3</v>
      </c>
      <c r="C58" s="171" t="str">
        <f>IF(B58="-","-",INDEX('0. Control Panel'!$B$6:$K$16,MATCH(B58,'0. Control Panel'!$B$6:$B$16,0),MATCH(C$4,'0. Control Panel'!$B$6:$K$6,0)))</f>
        <v>Product A</v>
      </c>
      <c r="D58" s="190">
        <f>E7*-'0. Control Panel'!$D$53</f>
        <v>-97537.500000000029</v>
      </c>
      <c r="E58" s="303">
        <v>-1350000</v>
      </c>
    </row>
    <row r="59" spans="2:10" x14ac:dyDescent="0.25">
      <c r="B59" s="174">
        <f>IF(B58="-","-",IF(B58+1&gt;COUNTA('0. Control Panel'!$C$7:$C$16),"-",B58+1))</f>
        <v>4</v>
      </c>
      <c r="C59" s="171" t="str">
        <f>IF(B59="-","-",INDEX('0. Control Panel'!$B$6:$K$16,MATCH(B59,'0. Control Panel'!$B$6:$B$16,0),MATCH(C$4,'0. Control Panel'!$B$6:$K$6,0)))</f>
        <v>Product B</v>
      </c>
      <c r="D59" s="190">
        <f>E8*-'0. Control Panel'!$D$53</f>
        <v>-126225.00000000001</v>
      </c>
      <c r="E59" s="303">
        <v>-1550000</v>
      </c>
    </row>
    <row r="60" spans="2:10" x14ac:dyDescent="0.25">
      <c r="B60" s="174">
        <f>IF(B59="-","-",IF(B59+1&gt;COUNTA('0. Control Panel'!$C$7:$C$16),"-",B59+1))</f>
        <v>5</v>
      </c>
      <c r="C60" s="171" t="str">
        <f>IF(B60="-","-",INDEX('0. Control Panel'!$B$6:$K$16,MATCH(B60,'0. Control Panel'!$B$6:$B$16,0),MATCH(C$4,'0. Control Panel'!$B$6:$K$6,0)))</f>
        <v>R&amp;D</v>
      </c>
      <c r="D60" s="190">
        <f>E9*-'0. Control Panel'!$D$53</f>
        <v>-9112.4999999999982</v>
      </c>
      <c r="E60" s="303">
        <v>-1300000</v>
      </c>
    </row>
    <row r="61" spans="2:10" x14ac:dyDescent="0.25">
      <c r="B61" s="174">
        <f>IF(B60="-","-",IF(B60+1&gt;COUNTA('0. Control Panel'!$C$7:$C$16),"-",B60+1))</f>
        <v>6</v>
      </c>
      <c r="C61" s="171" t="str">
        <f>IF(B61="-","-",INDEX('0. Control Panel'!$B$6:$K$16,MATCH(B61,'0. Control Panel'!$B$6:$B$16,0),MATCH(C$4,'0. Control Panel'!$B$6:$K$6,0)))</f>
        <v>HR</v>
      </c>
      <c r="D61" s="190">
        <f>E10*-'0. Control Panel'!$D$53</f>
        <v>-25987.500000000004</v>
      </c>
      <c r="E61" s="303">
        <v>-135000</v>
      </c>
    </row>
    <row r="62" spans="2:10" x14ac:dyDescent="0.25">
      <c r="B62" s="174">
        <f>IF(B61="-","-",IF(B61+1&gt;COUNTA('0. Control Panel'!$C$7:$C$16),"-",B61+1))</f>
        <v>7</v>
      </c>
      <c r="C62" s="171" t="str">
        <f>IF(B62="-","-",INDEX('0. Control Panel'!$B$6:$K$16,MATCH(B62,'0. Control Panel'!$B$6:$B$16,0),MATCH(C$4,'0. Control Panel'!$B$6:$K$6,0)))</f>
        <v>Finance</v>
      </c>
      <c r="D62" s="190">
        <f>E11*-'0. Control Panel'!$D$53</f>
        <v>-40500</v>
      </c>
      <c r="E62" s="303">
        <v>-115000</v>
      </c>
    </row>
    <row r="63" spans="2:10" x14ac:dyDescent="0.25">
      <c r="B63" s="174">
        <f>IF(B62="-","-",IF(B62+1&gt;COUNTA('0. Control Panel'!$C$7:$C$16),"-",B62+1))</f>
        <v>8</v>
      </c>
      <c r="C63" s="171" t="str">
        <f>IF(B63="-","-",INDEX('0. Control Panel'!$B$6:$K$16,MATCH(B63,'0. Control Panel'!$B$6:$B$16,0),MATCH(C$4,'0. Control Panel'!$B$6:$K$6,0)))</f>
        <v>Head Office</v>
      </c>
      <c r="D63" s="190">
        <f>E12*-'0. Control Panel'!$D$53</f>
        <v>-18224.999999999996</v>
      </c>
      <c r="E63" s="303">
        <v>-150000</v>
      </c>
    </row>
    <row r="64" spans="2:10" x14ac:dyDescent="0.25">
      <c r="B64" s="174" t="str">
        <f>IF(B63="-","-",IF(B63+1&gt;COUNTA('0. Control Panel'!$C$7:$C$16),"-",B63+1))</f>
        <v>-</v>
      </c>
      <c r="C64" s="171" t="str">
        <f>IF(B64="-","-",INDEX('0. Control Panel'!$B$6:$K$16,MATCH(B64,'0. Control Panel'!$B$6:$B$16,0),MATCH(C$4,'0. Control Panel'!$B$6:$K$6,0)))</f>
        <v>-</v>
      </c>
      <c r="D64" s="190">
        <f>E13*-'0. Control Panel'!$D$53</f>
        <v>0</v>
      </c>
      <c r="E64" s="303"/>
    </row>
    <row r="65" spans="2:10" x14ac:dyDescent="0.25">
      <c r="B65" s="175" t="str">
        <f>IF(B64="-","-",IF(B64+1&gt;COUNTA('0. Control Panel'!$C$7:$C$16),"-",B64+1))</f>
        <v>-</v>
      </c>
      <c r="C65" s="176" t="str">
        <f>IF(B65="-","-",INDEX('0. Control Panel'!$B$6:$K$16,MATCH(B65,'0. Control Panel'!$B$6:$B$16,0),MATCH(C$4,'0. Control Panel'!$B$6:$K$6,0)))</f>
        <v>-</v>
      </c>
      <c r="D65" s="190">
        <f>E14*-'0. Control Panel'!$D$53</f>
        <v>0</v>
      </c>
      <c r="E65" s="303"/>
    </row>
    <row r="66" spans="2:10" ht="16.5" thickBot="1" x14ac:dyDescent="0.3">
      <c r="C66" s="81" t="str">
        <f>C49</f>
        <v>All Departments/Functions</v>
      </c>
      <c r="D66" s="131">
        <f>SUM(D56:D65)</f>
        <v>-586237.5</v>
      </c>
      <c r="E66" s="131">
        <f>SUM(E56:E65)</f>
        <v>-6850000</v>
      </c>
    </row>
    <row r="67" spans="2:10" ht="16.5" thickTop="1" x14ac:dyDescent="0.25"/>
    <row r="68" spans="2:10" ht="21" x14ac:dyDescent="0.35">
      <c r="B68" s="181" t="s">
        <v>3</v>
      </c>
      <c r="C68" s="41"/>
      <c r="D68" s="37"/>
      <c r="E68" s="37"/>
      <c r="F68" s="182"/>
      <c r="G68" s="37"/>
      <c r="H68" s="37"/>
      <c r="I68" s="37"/>
      <c r="J68" s="37"/>
    </row>
    <row r="69" spans="2:10" ht="9.9499999999999993" customHeight="1" x14ac:dyDescent="0.35">
      <c r="B69" s="183"/>
      <c r="C69" s="184"/>
      <c r="D69" s="184"/>
      <c r="E69" s="184"/>
      <c r="F69" s="185"/>
      <c r="G69" s="184"/>
      <c r="H69" s="184"/>
      <c r="I69" s="184"/>
      <c r="J69" s="184"/>
    </row>
    <row r="70" spans="2:10" x14ac:dyDescent="0.25">
      <c r="C70" s="186" t="str">
        <f>"Cost per FTE for "&amp;'0. Control Panel'!C54&amp;" = "&amp;'0. Control Panel'!D54</f>
        <v>Cost per FTE for Training/Change Management = 50</v>
      </c>
      <c r="E70" s="51" t="s">
        <v>168</v>
      </c>
      <c r="H70" s="186" t="str">
        <f>"Cost per FTE for "&amp;'0. Control Panel'!C55&amp;" = "&amp;'0. Control Panel'!D55</f>
        <v>Cost per FTE for Other (travel, administrative) = 0</v>
      </c>
      <c r="J70" s="51" t="s">
        <v>168</v>
      </c>
    </row>
    <row r="71" spans="2:10" ht="18.75" x14ac:dyDescent="0.25">
      <c r="B71" s="187" t="s">
        <v>59</v>
      </c>
      <c r="C71" s="188" t="str">
        <f>INDEX('0. Control Panel'!$B$48:$C$55,MATCH(B71,'0. Control Panel'!$B$48:$B$55,0),2)</f>
        <v>Training/Change Management</v>
      </c>
      <c r="D71" s="103" t="s">
        <v>62</v>
      </c>
      <c r="E71" s="103" t="s">
        <v>63</v>
      </c>
      <c r="G71" s="187" t="s">
        <v>60</v>
      </c>
      <c r="H71" s="188" t="str">
        <f>INDEX('0. Control Panel'!$B$48:$C$55,MATCH(G71,'0. Control Panel'!$B$48:$B$55,0),2)</f>
        <v>Other (travel, administrative)</v>
      </c>
      <c r="I71" s="103" t="s">
        <v>62</v>
      </c>
      <c r="J71" s="103" t="s">
        <v>63</v>
      </c>
    </row>
    <row r="72" spans="2:10" x14ac:dyDescent="0.25">
      <c r="B72" s="74"/>
      <c r="C72" s="189" t="str">
        <f>'0. Control Panel'!$C$6</f>
        <v>Departments/Functions</v>
      </c>
      <c r="G72" s="74"/>
      <c r="H72" s="189" t="str">
        <f>'0. Control Panel'!$C$6</f>
        <v>Departments/Functions</v>
      </c>
    </row>
    <row r="73" spans="2:10" x14ac:dyDescent="0.25">
      <c r="B73" s="170">
        <f>IF(B72="-","-",IF(B72+1&gt;COUNTA('0. Control Panel'!$C$7:$C$16),"-",B72+1))</f>
        <v>1</v>
      </c>
      <c r="C73" s="171" t="str">
        <f>IF(B73="-","-",INDEX('0. Control Panel'!$B$6:$K$16,MATCH(B73,'0. Control Panel'!$B$6:$B$16,0),MATCH(C$4,'0. Control Panel'!$B$6:$K$6,0)))</f>
        <v>IT</v>
      </c>
      <c r="D73" s="190">
        <f>E5*-'0. Control Panel'!$D$54</f>
        <v>-5940</v>
      </c>
      <c r="E73" s="303">
        <v>-1500000</v>
      </c>
      <c r="G73" s="170">
        <f>IF(G72="-","-",IF(G72+1&gt;COUNTA('0. Control Panel'!$C$7:$C$16),"-",G72+1))</f>
        <v>1</v>
      </c>
      <c r="H73" s="171" t="str">
        <f>C73</f>
        <v>IT</v>
      </c>
      <c r="I73" s="190">
        <f>E5*-'0. Control Panel'!D55</f>
        <v>0</v>
      </c>
      <c r="J73" s="303"/>
    </row>
    <row r="74" spans="2:10" x14ac:dyDescent="0.25">
      <c r="B74" s="174">
        <f>IF(B73="-","-",IF(B73+1&gt;COUNTA('0. Control Panel'!$C$7:$C$16),"-",B73+1))</f>
        <v>2</v>
      </c>
      <c r="C74" s="171" t="str">
        <f>IF(B74="-","-",INDEX('0. Control Panel'!$B$6:$K$16,MATCH(B74,'0. Control Panel'!$B$6:$B$16,0),MATCH(C$4,'0. Control Panel'!$B$6:$K$6,0)))</f>
        <v>Sales</v>
      </c>
      <c r="D74" s="190">
        <f>E6*-'0. Control Panel'!$D$54</f>
        <v>-20925.000000000004</v>
      </c>
      <c r="E74" s="303">
        <v>-550000</v>
      </c>
      <c r="G74" s="174">
        <f>IF(G73="-","-",IF(G73+1&gt;COUNTA('0. Control Panel'!$C$7:$C$16),"-",G73+1))</f>
        <v>2</v>
      </c>
      <c r="H74" s="171" t="str">
        <f t="shared" ref="H74:H82" si="3">C74</f>
        <v>Sales</v>
      </c>
      <c r="I74" s="190">
        <f>E6*-'0. Control Panel'!D56</f>
        <v>0</v>
      </c>
      <c r="J74" s="303"/>
    </row>
    <row r="75" spans="2:10" x14ac:dyDescent="0.25">
      <c r="B75" s="174">
        <f>IF(B74="-","-",IF(B74+1&gt;COUNTA('0. Control Panel'!$C$7:$C$16),"-",B74+1))</f>
        <v>3</v>
      </c>
      <c r="C75" s="171" t="str">
        <f>IF(B75="-","-",INDEX('0. Control Panel'!$B$6:$K$16,MATCH(B75,'0. Control Panel'!$B$6:$B$16,0),MATCH(C$4,'0. Control Panel'!$B$6:$K$6,0)))</f>
        <v>Product A</v>
      </c>
      <c r="D75" s="190">
        <f>E7*-'0. Control Panel'!$D$54</f>
        <v>-9753.7500000000018</v>
      </c>
      <c r="E75" s="303">
        <v>-1500000</v>
      </c>
      <c r="G75" s="174">
        <f>IF(G74="-","-",IF(G74+1&gt;COUNTA('0. Control Panel'!$C$7:$C$16),"-",G74+1))</f>
        <v>3</v>
      </c>
      <c r="H75" s="171" t="str">
        <f t="shared" si="3"/>
        <v>Product A</v>
      </c>
      <c r="I75" s="190">
        <f>E7*-'0. Control Panel'!D57</f>
        <v>0</v>
      </c>
      <c r="J75" s="303"/>
    </row>
    <row r="76" spans="2:10" x14ac:dyDescent="0.25">
      <c r="B76" s="174">
        <f>IF(B75="-","-",IF(B75+1&gt;COUNTA('0. Control Panel'!$C$7:$C$16),"-",B75+1))</f>
        <v>4</v>
      </c>
      <c r="C76" s="171" t="str">
        <f>IF(B76="-","-",INDEX('0. Control Panel'!$B$6:$K$16,MATCH(B76,'0. Control Panel'!$B$6:$B$16,0),MATCH(C$4,'0. Control Panel'!$B$6:$K$6,0)))</f>
        <v>Product B</v>
      </c>
      <c r="D76" s="190">
        <f>E8*-'0. Control Panel'!$D$54</f>
        <v>-12622.5</v>
      </c>
      <c r="E76" s="303">
        <v>-1500000</v>
      </c>
      <c r="G76" s="174">
        <f>IF(G75="-","-",IF(G75+1&gt;COUNTA('0. Control Panel'!$C$7:$C$16),"-",G75+1))</f>
        <v>4</v>
      </c>
      <c r="H76" s="171" t="str">
        <f t="shared" si="3"/>
        <v>Product B</v>
      </c>
      <c r="I76" s="190">
        <f>E8*-'0. Control Panel'!D58</f>
        <v>0</v>
      </c>
      <c r="J76" s="303"/>
    </row>
    <row r="77" spans="2:10" x14ac:dyDescent="0.25">
      <c r="B77" s="174">
        <f>IF(B76="-","-",IF(B76+1&gt;COUNTA('0. Control Panel'!$C$7:$C$16),"-",B76+1))</f>
        <v>5</v>
      </c>
      <c r="C77" s="171" t="str">
        <f>IF(B77="-","-",INDEX('0. Control Panel'!$B$6:$K$16,MATCH(B77,'0. Control Panel'!$B$6:$B$16,0),MATCH(C$4,'0. Control Panel'!$B$6:$K$6,0)))</f>
        <v>R&amp;D</v>
      </c>
      <c r="D77" s="190">
        <f>E9*-'0. Control Panel'!$D$54</f>
        <v>-911.24999999999989</v>
      </c>
      <c r="E77" s="303">
        <v>-120000</v>
      </c>
      <c r="G77" s="174">
        <f>IF(G76="-","-",IF(G76+1&gt;COUNTA('0. Control Panel'!$C$7:$C$16),"-",G76+1))</f>
        <v>5</v>
      </c>
      <c r="H77" s="171" t="str">
        <f t="shared" si="3"/>
        <v>R&amp;D</v>
      </c>
      <c r="I77" s="190">
        <f>E9*-'0. Control Panel'!D59</f>
        <v>0</v>
      </c>
      <c r="J77" s="303"/>
    </row>
    <row r="78" spans="2:10" x14ac:dyDescent="0.25">
      <c r="B78" s="174">
        <f>IF(B77="-","-",IF(B77+1&gt;COUNTA('0. Control Panel'!$C$7:$C$16),"-",B77+1))</f>
        <v>6</v>
      </c>
      <c r="C78" s="171" t="str">
        <f>IF(B78="-","-",INDEX('0. Control Panel'!$B$6:$K$16,MATCH(B78,'0. Control Panel'!$B$6:$B$16,0),MATCH(C$4,'0. Control Panel'!$B$6:$K$6,0)))</f>
        <v>HR</v>
      </c>
      <c r="D78" s="190">
        <f>E10*-'0. Control Panel'!$D$54</f>
        <v>-2598.7500000000005</v>
      </c>
      <c r="E78" s="303">
        <v>-150000</v>
      </c>
      <c r="G78" s="174">
        <f>IF(G77="-","-",IF(G77+1&gt;COUNTA('0. Control Panel'!$C$7:$C$16),"-",G77+1))</f>
        <v>6</v>
      </c>
      <c r="H78" s="171" t="str">
        <f t="shared" si="3"/>
        <v>HR</v>
      </c>
      <c r="I78" s="190">
        <f>E10*-'0. Control Panel'!D60</f>
        <v>0</v>
      </c>
      <c r="J78" s="303"/>
    </row>
    <row r="79" spans="2:10" x14ac:dyDescent="0.25">
      <c r="B79" s="174">
        <f>IF(B78="-","-",IF(B78+1&gt;COUNTA('0. Control Panel'!$C$7:$C$16),"-",B78+1))</f>
        <v>7</v>
      </c>
      <c r="C79" s="171" t="str">
        <f>IF(B79="-","-",INDEX('0. Control Panel'!$B$6:$K$16,MATCH(B79,'0. Control Panel'!$B$6:$B$16,0),MATCH(C$4,'0. Control Panel'!$B$6:$K$6,0)))</f>
        <v>Finance</v>
      </c>
      <c r="D79" s="190">
        <f>E11*-'0. Control Panel'!$D$54</f>
        <v>-4050</v>
      </c>
      <c r="E79" s="303">
        <v>-250000</v>
      </c>
      <c r="G79" s="174">
        <f>IF(G78="-","-",IF(G78+1&gt;COUNTA('0. Control Panel'!$C$7:$C$16),"-",G78+1))</f>
        <v>7</v>
      </c>
      <c r="H79" s="171" t="str">
        <f t="shared" si="3"/>
        <v>Finance</v>
      </c>
      <c r="I79" s="190">
        <f>E11*-'0. Control Panel'!D61</f>
        <v>0</v>
      </c>
      <c r="J79" s="303"/>
    </row>
    <row r="80" spans="2:10" x14ac:dyDescent="0.25">
      <c r="B80" s="174">
        <f>IF(B79="-","-",IF(B79+1&gt;COUNTA('0. Control Panel'!$C$7:$C$16),"-",B79+1))</f>
        <v>8</v>
      </c>
      <c r="C80" s="171" t="str">
        <f>IF(B80="-","-",INDEX('0. Control Panel'!$B$6:$K$16,MATCH(B80,'0. Control Panel'!$B$6:$B$16,0),MATCH(C$4,'0. Control Panel'!$B$6:$K$6,0)))</f>
        <v>Head Office</v>
      </c>
      <c r="D80" s="190">
        <f>E12*-'0. Control Panel'!$D$54</f>
        <v>-1822.4999999999998</v>
      </c>
      <c r="E80" s="303">
        <v>-120000</v>
      </c>
      <c r="G80" s="174">
        <f>IF(G79="-","-",IF(G79+1&gt;COUNTA('0. Control Panel'!$C$7:$C$16),"-",G79+1))</f>
        <v>8</v>
      </c>
      <c r="H80" s="171" t="str">
        <f t="shared" si="3"/>
        <v>Head Office</v>
      </c>
      <c r="I80" s="190">
        <f>E12*-'0. Control Panel'!D62</f>
        <v>0</v>
      </c>
      <c r="J80" s="303">
        <v>-250000</v>
      </c>
    </row>
    <row r="81" spans="2:10" x14ac:dyDescent="0.25">
      <c r="B81" s="174" t="str">
        <f>IF(B80="-","-",IF(B80+1&gt;COUNTA('0. Control Panel'!$C$7:$C$16),"-",B80+1))</f>
        <v>-</v>
      </c>
      <c r="C81" s="171" t="str">
        <f>IF(B81="-","-",INDEX('0. Control Panel'!$B$6:$K$16,MATCH(B81,'0. Control Panel'!$B$6:$B$16,0),MATCH(C$4,'0. Control Panel'!$B$6:$K$6,0)))</f>
        <v>-</v>
      </c>
      <c r="D81" s="190">
        <f>E13*-'0. Control Panel'!$D$54</f>
        <v>0</v>
      </c>
      <c r="E81" s="303"/>
      <c r="G81" s="174" t="str">
        <f>IF(G80="-","-",IF(G80+1&gt;COUNTA('0. Control Panel'!$C$7:$C$16),"-",G80+1))</f>
        <v>-</v>
      </c>
      <c r="H81" s="171" t="str">
        <f t="shared" si="3"/>
        <v>-</v>
      </c>
      <c r="I81" s="190">
        <f>E13*-'0. Control Panel'!D63</f>
        <v>0</v>
      </c>
      <c r="J81" s="303"/>
    </row>
    <row r="82" spans="2:10" x14ac:dyDescent="0.25">
      <c r="B82" s="175" t="str">
        <f>IF(B81="-","-",IF(B81+1&gt;COUNTA('0. Control Panel'!$C$7:$C$16),"-",B81+1))</f>
        <v>-</v>
      </c>
      <c r="C82" s="176" t="str">
        <f>IF(B82="-","-",INDEX('0. Control Panel'!$B$6:$K$16,MATCH(B82,'0. Control Panel'!$B$6:$B$16,0),MATCH(C$4,'0. Control Panel'!$B$6:$K$6,0)))</f>
        <v>-</v>
      </c>
      <c r="D82" s="190">
        <f>E14*-'0. Control Panel'!$D$54</f>
        <v>0</v>
      </c>
      <c r="E82" s="303"/>
      <c r="G82" s="175" t="str">
        <f>IF(G81="-","-",IF(G81+1&gt;COUNTA('0. Control Panel'!$C$7:$C$16),"-",G81+1))</f>
        <v>-</v>
      </c>
      <c r="H82" s="171" t="str">
        <f t="shared" si="3"/>
        <v>-</v>
      </c>
      <c r="I82" s="190">
        <f>E14*-'0. Control Panel'!D64</f>
        <v>0</v>
      </c>
      <c r="J82" s="303"/>
    </row>
    <row r="83" spans="2:10" ht="16.5" thickBot="1" x14ac:dyDescent="0.3">
      <c r="C83" s="81" t="str">
        <f>C66</f>
        <v>All Departments/Functions</v>
      </c>
      <c r="D83" s="131">
        <f>SUM(D73:D82)</f>
        <v>-58623.750000000007</v>
      </c>
      <c r="E83" s="131">
        <f>SUM(E73:E82)</f>
        <v>-5690000</v>
      </c>
      <c r="H83" s="81" t="str">
        <f>C83</f>
        <v>All Departments/Functions</v>
      </c>
      <c r="I83" s="131">
        <f>SUM(I73:I82)</f>
        <v>0</v>
      </c>
      <c r="J83" s="131">
        <f>SUM(J73:J82)</f>
        <v>-250000</v>
      </c>
    </row>
    <row r="84" spans="2:10" ht="16.5" thickTop="1" x14ac:dyDescent="0.25"/>
    <row r="85" spans="2:10" ht="21" x14ac:dyDescent="0.35">
      <c r="B85" s="181" t="s">
        <v>173</v>
      </c>
      <c r="C85" s="41"/>
      <c r="D85" s="37"/>
      <c r="E85" s="37"/>
      <c r="F85" s="182"/>
      <c r="G85" s="37"/>
      <c r="H85" s="37"/>
      <c r="I85" s="37"/>
      <c r="J85" s="37"/>
    </row>
    <row r="86" spans="2:10" ht="21" x14ac:dyDescent="0.35">
      <c r="B86" s="183"/>
      <c r="C86" s="186" t="str">
        <f>"Cost per FTE for "&amp;'0. Control Panel'!C56&amp;" = "&amp;'0. Control Panel'!D56</f>
        <v>Cost per FTE for SI Cost = 0</v>
      </c>
      <c r="D86" s="184"/>
      <c r="E86" s="51" t="s">
        <v>168</v>
      </c>
      <c r="F86" s="185"/>
      <c r="G86" s="184"/>
      <c r="H86" s="184"/>
      <c r="I86" s="184"/>
      <c r="J86" s="184"/>
    </row>
    <row r="87" spans="2:10" ht="18.75" x14ac:dyDescent="0.25">
      <c r="B87" s="187" t="s">
        <v>172</v>
      </c>
      <c r="C87" s="188" t="str">
        <f>INDEX('0. Control Panel'!$B$48:$C$56,MATCH(B87,'0. Control Panel'!$B$48:$B$56,0),2)</f>
        <v>SI Cost</v>
      </c>
      <c r="D87" s="103" t="s">
        <v>62</v>
      </c>
      <c r="E87" s="103" t="s">
        <v>63</v>
      </c>
    </row>
    <row r="88" spans="2:10" x14ac:dyDescent="0.25">
      <c r="B88" s="74"/>
      <c r="C88" s="189" t="str">
        <f>'0. Control Panel'!$C$6</f>
        <v>Departments/Functions</v>
      </c>
    </row>
    <row r="89" spans="2:10" x14ac:dyDescent="0.25">
      <c r="B89" s="170">
        <f>IF(B88="-","-",IF(B88+1&gt;COUNTA('0. Control Panel'!$C$7:$C$16),"-",B88+1))</f>
        <v>1</v>
      </c>
      <c r="C89" s="171" t="str">
        <f>IF(B89="-","-",INDEX('0. Control Panel'!$B$6:$K$16,MATCH(B89,'0. Control Panel'!$B$6:$B$16,0),MATCH(C$4,'0. Control Panel'!$B$6:$K$6,0)))</f>
        <v>IT</v>
      </c>
      <c r="D89" s="193">
        <f>E5*-'0. Control Panel'!$D$56</f>
        <v>0</v>
      </c>
      <c r="E89" s="303">
        <v>-1500000</v>
      </c>
    </row>
    <row r="90" spans="2:10" x14ac:dyDescent="0.25">
      <c r="B90" s="174">
        <f>IF(B89="-","-",IF(B89+1&gt;COUNTA('0. Control Panel'!$C$7:$C$16),"-",B89+1))</f>
        <v>2</v>
      </c>
      <c r="C90" s="171" t="str">
        <f>IF(B90="-","-",INDEX('0. Control Panel'!$B$6:$K$16,MATCH(B90,'0. Control Panel'!$B$6:$B$16,0),MATCH(C$4,'0. Control Panel'!$B$6:$K$6,0)))</f>
        <v>Sales</v>
      </c>
      <c r="D90" s="193">
        <f>E6*-'0. Control Panel'!$D$56</f>
        <v>0</v>
      </c>
      <c r="E90" s="303">
        <v>-2500000</v>
      </c>
    </row>
    <row r="91" spans="2:10" x14ac:dyDescent="0.25">
      <c r="B91" s="174">
        <f>IF(B90="-","-",IF(B90+1&gt;COUNTA('0. Control Panel'!$C$7:$C$16),"-",B90+1))</f>
        <v>3</v>
      </c>
      <c r="C91" s="171" t="str">
        <f>IF(B91="-","-",INDEX('0. Control Panel'!$B$6:$K$16,MATCH(B91,'0. Control Panel'!$B$6:$B$16,0),MATCH(C$4,'0. Control Panel'!$B$6:$K$6,0)))</f>
        <v>Product A</v>
      </c>
      <c r="D91" s="193">
        <f>E7*-'0. Control Panel'!$D$56</f>
        <v>0</v>
      </c>
      <c r="E91" s="303">
        <v>0</v>
      </c>
    </row>
    <row r="92" spans="2:10" x14ac:dyDescent="0.25">
      <c r="B92" s="174">
        <f>IF(B91="-","-",IF(B91+1&gt;COUNTA('0. Control Panel'!$C$7:$C$16),"-",B91+1))</f>
        <v>4</v>
      </c>
      <c r="C92" s="171" t="str">
        <f>IF(B92="-","-",INDEX('0. Control Panel'!$B$6:$K$16,MATCH(B92,'0. Control Panel'!$B$6:$B$16,0),MATCH(C$4,'0. Control Panel'!$B$6:$K$6,0)))</f>
        <v>Product B</v>
      </c>
      <c r="D92" s="193">
        <f>E8*-'0. Control Panel'!$D$56</f>
        <v>0</v>
      </c>
      <c r="E92" s="303">
        <v>0</v>
      </c>
    </row>
    <row r="93" spans="2:10" x14ac:dyDescent="0.25">
      <c r="B93" s="174">
        <f>IF(B92="-","-",IF(B92+1&gt;COUNTA('0. Control Panel'!$C$7:$C$16),"-",B92+1))</f>
        <v>5</v>
      </c>
      <c r="C93" s="171" t="str">
        <f>IF(B93="-","-",INDEX('0. Control Panel'!$B$6:$K$16,MATCH(B93,'0. Control Panel'!$B$6:$B$16,0),MATCH(C$4,'0. Control Panel'!$B$6:$K$6,0)))</f>
        <v>R&amp;D</v>
      </c>
      <c r="D93" s="193">
        <f>E9*-'0. Control Panel'!$D$56</f>
        <v>0</v>
      </c>
      <c r="E93" s="303">
        <v>0</v>
      </c>
    </row>
    <row r="94" spans="2:10" x14ac:dyDescent="0.25">
      <c r="B94" s="174">
        <f>IF(B93="-","-",IF(B93+1&gt;COUNTA('0. Control Panel'!$C$7:$C$16),"-",B93+1))</f>
        <v>6</v>
      </c>
      <c r="C94" s="171" t="str">
        <f>IF(B94="-","-",INDEX('0. Control Panel'!$B$6:$K$16,MATCH(B94,'0. Control Panel'!$B$6:$B$16,0),MATCH(C$4,'0. Control Panel'!$B$6:$K$6,0)))</f>
        <v>HR</v>
      </c>
      <c r="D94" s="193">
        <f>E10*-'0. Control Panel'!$D$56</f>
        <v>0</v>
      </c>
      <c r="E94" s="303">
        <v>-1000000</v>
      </c>
    </row>
    <row r="95" spans="2:10" x14ac:dyDescent="0.25">
      <c r="B95" s="174">
        <f>IF(B94="-","-",IF(B94+1&gt;COUNTA('0. Control Panel'!$C$7:$C$16),"-",B94+1))</f>
        <v>7</v>
      </c>
      <c r="C95" s="171" t="str">
        <f>IF(B95="-","-",INDEX('0. Control Panel'!$B$6:$K$16,MATCH(B95,'0. Control Panel'!$B$6:$B$16,0),MATCH(C$4,'0. Control Panel'!$B$6:$K$6,0)))</f>
        <v>Finance</v>
      </c>
      <c r="D95" s="193">
        <f>E11*-'0. Control Panel'!$D$56</f>
        <v>0</v>
      </c>
      <c r="E95" s="303">
        <v>-500000</v>
      </c>
    </row>
    <row r="96" spans="2:10" x14ac:dyDescent="0.25">
      <c r="B96" s="174">
        <f>IF(B95="-","-",IF(B95+1&gt;COUNTA('0. Control Panel'!$C$7:$C$16),"-",B95+1))</f>
        <v>8</v>
      </c>
      <c r="C96" s="171" t="str">
        <f>IF(B96="-","-",INDEX('0. Control Panel'!$B$6:$K$16,MATCH(B96,'0. Control Panel'!$B$6:$B$16,0),MATCH(C$4,'0. Control Panel'!$B$6:$K$6,0)))</f>
        <v>Head Office</v>
      </c>
      <c r="D96" s="193">
        <f>E12*-'0. Control Panel'!$D$56</f>
        <v>0</v>
      </c>
      <c r="E96" s="303">
        <v>-400000</v>
      </c>
    </row>
    <row r="97" spans="2:5" x14ac:dyDescent="0.25">
      <c r="B97" s="174" t="str">
        <f>IF(B96="-","-",IF(B96+1&gt;COUNTA('0. Control Panel'!$C$7:$C$16),"-",B96+1))</f>
        <v>-</v>
      </c>
      <c r="C97" s="171" t="str">
        <f>IF(B97="-","-",INDEX('0. Control Panel'!$B$6:$K$16,MATCH(B97,'0. Control Panel'!$B$6:$B$16,0),MATCH(C$4,'0. Control Panel'!$B$6:$K$6,0)))</f>
        <v>-</v>
      </c>
      <c r="D97" s="193">
        <f>E13*-'0. Control Panel'!$D$56</f>
        <v>0</v>
      </c>
      <c r="E97" s="303">
        <v>0</v>
      </c>
    </row>
    <row r="98" spans="2:5" x14ac:dyDescent="0.25">
      <c r="B98" s="175" t="str">
        <f>IF(B97="-","-",IF(B97+1&gt;COUNTA('0. Control Panel'!$C$7:$C$16),"-",B97+1))</f>
        <v>-</v>
      </c>
      <c r="C98" s="176" t="str">
        <f>IF(B98="-","-",INDEX('0. Control Panel'!$B$6:$K$16,MATCH(B98,'0. Control Panel'!$B$6:$B$16,0),MATCH(C$4,'0. Control Panel'!$B$6:$K$6,0)))</f>
        <v>-</v>
      </c>
      <c r="D98" s="193">
        <f>E14*-'0. Control Panel'!$D$56</f>
        <v>0</v>
      </c>
      <c r="E98" s="303">
        <v>0</v>
      </c>
    </row>
    <row r="99" spans="2:5" ht="16.5" thickBot="1" x14ac:dyDescent="0.3">
      <c r="C99" s="81" t="str">
        <f>C83</f>
        <v>All Departments/Functions</v>
      </c>
      <c r="D99" s="131">
        <f>SUM(D89:D98)</f>
        <v>0</v>
      </c>
      <c r="E99" s="131">
        <f>SUM(E89:E98)</f>
        <v>-5900000</v>
      </c>
    </row>
    <row r="100" spans="2:5" ht="16.5" thickTop="1" x14ac:dyDescent="0.25"/>
  </sheetData>
  <sheetProtection algorithmName="SHA-512" hashValue="dmm4nZGuSdZl0ZiMRLHD8X4R0W1bCBQgHyW4FAQa+Erp0ZsXDwyYDaYd0WVVcnwEVay+/znLyVKS8Q2qVJpdtQ==" saltValue="jwyvje+hoNs9P/vDlLMQFQ==" spinCount="100000" sheet="1" objects="1" scenarios="1" selectLockedCells="1" selectUnlockedCell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4"/>
  <sheetViews>
    <sheetView showGridLines="0" workbookViewId="0">
      <pane xSplit="3" ySplit="6" topLeftCell="D19" activePane="bottomRight" state="frozen"/>
      <selection activeCell="G10" sqref="G10:H10"/>
      <selection pane="topRight" activeCell="G10" sqref="G10:H10"/>
      <selection pane="bottomLeft" activeCell="G10" sqref="G10:H10"/>
      <selection pane="bottomRight" activeCell="G10" sqref="G10:H10"/>
    </sheetView>
  </sheetViews>
  <sheetFormatPr defaultColWidth="10.875" defaultRowHeight="15.75" x14ac:dyDescent="0.25"/>
  <cols>
    <col min="1" max="1" width="10.875" style="35"/>
    <col min="2" max="2" width="4.125" style="35" bestFit="1" customWidth="1"/>
    <col min="3" max="3" width="48" style="92" bestFit="1" customWidth="1"/>
    <col min="4" max="6" width="18.5" style="74" customWidth="1"/>
    <col min="7" max="7" width="1.375" style="74" customWidth="1"/>
    <col min="8" max="8" width="18.5" style="74" customWidth="1"/>
    <col min="9" max="9" width="1.375" style="74" customWidth="1"/>
    <col min="10" max="11" width="18.5" style="35" customWidth="1"/>
    <col min="12" max="12" width="1.5" style="35" customWidth="1"/>
    <col min="13" max="13" width="18.5" style="35" customWidth="1"/>
    <col min="14" max="14" width="1.5" style="35" customWidth="1"/>
    <col min="15" max="16384" width="10.875" style="35"/>
  </cols>
  <sheetData>
    <row r="2" spans="2:13" ht="29.25" thickBot="1" x14ac:dyDescent="0.5">
      <c r="B2" s="96" t="s">
        <v>162</v>
      </c>
      <c r="C2" s="148"/>
      <c r="D2" s="149"/>
      <c r="E2" s="67"/>
      <c r="F2" s="67"/>
      <c r="G2" s="67"/>
      <c r="H2" s="67"/>
      <c r="I2" s="67"/>
      <c r="J2" s="66"/>
      <c r="K2" s="66"/>
      <c r="L2" s="66"/>
      <c r="M2" s="66"/>
    </row>
    <row r="4" spans="2:13" x14ac:dyDescent="0.25">
      <c r="C4" s="307" t="s">
        <v>5</v>
      </c>
      <c r="D4" s="150" t="s">
        <v>170</v>
      </c>
    </row>
    <row r="5" spans="2:13" ht="11.1" customHeight="1" x14ac:dyDescent="0.25">
      <c r="C5" s="35"/>
    </row>
    <row r="6" spans="2:13" ht="31.5" x14ac:dyDescent="0.25">
      <c r="C6" s="306" t="s">
        <v>131</v>
      </c>
      <c r="D6" s="151" t="str">
        <f>'2.1 Customer Benefit Output'!G4</f>
        <v>FTE Cost Savings</v>
      </c>
      <c r="E6" s="152" t="str">
        <f>'2.1 Customer Benefit Output'!K4</f>
        <v>Timesheet Cost Savings</v>
      </c>
      <c r="F6" s="152" t="str">
        <f>'2.1 Customer Benefit Output'!O4</f>
        <v>Expected Increased Revenue post MDM</v>
      </c>
      <c r="G6" s="71"/>
      <c r="H6" s="153" t="s">
        <v>75</v>
      </c>
      <c r="I6" s="71"/>
      <c r="J6" s="152" t="s">
        <v>62</v>
      </c>
      <c r="K6" s="152" t="s">
        <v>63</v>
      </c>
      <c r="M6" s="153" t="s">
        <v>76</v>
      </c>
    </row>
    <row r="7" spans="2:13" x14ac:dyDescent="0.25">
      <c r="B7" s="154" t="s">
        <v>12</v>
      </c>
      <c r="C7" s="111" t="str">
        <f>VLOOKUP($B7,'0. Control Panel'!$B$20:$D$55,2,FALSE)</f>
        <v>Increased Customer Retention</v>
      </c>
      <c r="D7" s="112">
        <f>IFERROR(INDEX('2.1 Customer Benefit Output'!$A$1:$U$135,MATCH($C$6&amp;$B7,'2.1 Customer Benefit Output'!$A$1:$A$135,0),MATCH(D$6&amp;$C$4,'2.1 Customer Benefit Output'!$A$1:$U$1,0)),0)</f>
        <v>560000</v>
      </c>
      <c r="E7" s="112">
        <f>IFERROR(INDEX('2.1 Customer Benefit Output'!$A$1:$U$135,MATCH($C$6&amp;$B7,'2.1 Customer Benefit Output'!$A$1:$A$135,0),MATCH(E$6&amp;$C$4,'2.1 Customer Benefit Output'!$A$1:$U$1,0)),0)</f>
        <v>2163762.5</v>
      </c>
      <c r="F7" s="112">
        <f>IFERROR(INDEX('2.1 Customer Benefit Output'!$A$1:$U$135,MATCH($C$6&amp;$B7,'2.1 Customer Benefit Output'!$A$1:$A$135,0),MATCH(F$6&amp;$C$4,'2.1 Customer Benefit Output'!$A$1:$U$1,0)),0)</f>
        <v>1100000</v>
      </c>
      <c r="G7" s="121"/>
      <c r="H7" s="112">
        <f t="shared" ref="H7:H16" si="0">SUM(D7:F7)</f>
        <v>3823762.5</v>
      </c>
      <c r="I7" s="121"/>
      <c r="J7" s="155"/>
      <c r="K7" s="155"/>
      <c r="L7" s="92"/>
      <c r="M7" s="155"/>
    </row>
    <row r="8" spans="2:13" x14ac:dyDescent="0.25">
      <c r="B8" s="156" t="s">
        <v>13</v>
      </c>
      <c r="C8" s="115" t="str">
        <f>VLOOKUP($B8,'0. Control Panel'!$B$20:$D$55,2,FALSE)</f>
        <v>Reduced Sales Order Errors</v>
      </c>
      <c r="D8" s="116">
        <f>IFERROR(INDEX('2.1 Customer Benefit Output'!$A$1:$U$135,MATCH($C$6&amp;$B8,'2.1 Customer Benefit Output'!$A$1:$A$135,0),MATCH(D$6&amp;$C$4,'2.1 Customer Benefit Output'!$A$1:$U$1,0)),0)</f>
        <v>618000</v>
      </c>
      <c r="E8" s="116">
        <f>IFERROR(INDEX('2.1 Customer Benefit Output'!$A$1:$U$135,MATCH($C$6&amp;$B8,'2.1 Customer Benefit Output'!$A$1:$A$135,0),MATCH(E$6&amp;$C$4,'2.1 Customer Benefit Output'!$A$1:$U$1,0)),0)</f>
        <v>476072.5</v>
      </c>
      <c r="F8" s="116">
        <f>IFERROR(INDEX('2.1 Customer Benefit Output'!$A$1:$U$135,MATCH($C$6&amp;$B8,'2.1 Customer Benefit Output'!$A$1:$A$135,0),MATCH(F$6&amp;$C$4,'2.1 Customer Benefit Output'!$A$1:$U$1,0)),0)</f>
        <v>300000</v>
      </c>
      <c r="G8" s="121"/>
      <c r="H8" s="116">
        <f t="shared" si="0"/>
        <v>1394072.5</v>
      </c>
      <c r="I8" s="121"/>
      <c r="J8" s="155"/>
      <c r="K8" s="155"/>
      <c r="L8" s="92"/>
      <c r="M8" s="155"/>
    </row>
    <row r="9" spans="2:13" x14ac:dyDescent="0.25">
      <c r="B9" s="156" t="s">
        <v>14</v>
      </c>
      <c r="C9" s="115" t="str">
        <f>VLOOKUP($B9,'0. Control Panel'!$B$20:$D$55,2,FALSE)</f>
        <v>Reduced Sales Cycle Time</v>
      </c>
      <c r="D9" s="116">
        <f>IFERROR(INDEX('2.1 Customer Benefit Output'!$A$1:$U$135,MATCH($C$6&amp;$B9,'2.1 Customer Benefit Output'!$A$1:$A$135,0),MATCH(D$6&amp;$C$4,'2.1 Customer Benefit Output'!$A$1:$U$1,0)),0)</f>
        <v>1009000.0000000001</v>
      </c>
      <c r="E9" s="116">
        <f>IFERROR(INDEX('2.1 Customer Benefit Output'!$A$1:$U$135,MATCH($C$6&amp;$B9,'2.1 Customer Benefit Output'!$A$1:$A$135,0),MATCH(E$6&amp;$C$4,'2.1 Customer Benefit Output'!$A$1:$U$1,0)),0)</f>
        <v>0</v>
      </c>
      <c r="F9" s="116">
        <f>IFERROR(INDEX('2.1 Customer Benefit Output'!$A$1:$U$135,MATCH($C$6&amp;$B9,'2.1 Customer Benefit Output'!$A$1:$A$135,0),MATCH(F$6&amp;$C$4,'2.1 Customer Benefit Output'!$A$1:$U$1,0)),0)</f>
        <v>0</v>
      </c>
      <c r="G9" s="121"/>
      <c r="H9" s="116">
        <f t="shared" si="0"/>
        <v>1009000.0000000001</v>
      </c>
      <c r="I9" s="121"/>
      <c r="J9" s="155"/>
      <c r="K9" s="155"/>
      <c r="L9" s="92"/>
      <c r="M9" s="155"/>
    </row>
    <row r="10" spans="2:13" x14ac:dyDescent="0.25">
      <c r="B10" s="156" t="s">
        <v>15</v>
      </c>
      <c r="C10" s="115" t="str">
        <f>VLOOKUP($B10,'0. Control Panel'!$B$20:$D$55,2,FALSE)</f>
        <v>Increased Cross-Sell / Up-Sell</v>
      </c>
      <c r="D10" s="116">
        <f>IFERROR(INDEX('2.1 Customer Benefit Output'!$A$1:$U$135,MATCH($C$6&amp;$B10,'2.1 Customer Benefit Output'!$A$1:$A$135,0),MATCH(D$6&amp;$C$4,'2.1 Customer Benefit Output'!$A$1:$U$1,0)),0)</f>
        <v>436100</v>
      </c>
      <c r="E10" s="116">
        <f>IFERROR(INDEX('2.1 Customer Benefit Output'!$A$1:$U$135,MATCH($C$6&amp;$B10,'2.1 Customer Benefit Output'!$A$1:$A$135,0),MATCH(E$6&amp;$C$4,'2.1 Customer Benefit Output'!$A$1:$U$1,0)),0)</f>
        <v>0</v>
      </c>
      <c r="F10" s="116">
        <f>IFERROR(INDEX('2.1 Customer Benefit Output'!$A$1:$U$135,MATCH($C$6&amp;$B10,'2.1 Customer Benefit Output'!$A$1:$A$135,0),MATCH(F$6&amp;$C$4,'2.1 Customer Benefit Output'!$A$1:$U$1,0)),0)</f>
        <v>450000</v>
      </c>
      <c r="G10" s="121"/>
      <c r="H10" s="157">
        <f t="shared" si="0"/>
        <v>886100</v>
      </c>
      <c r="I10" s="121"/>
      <c r="J10" s="155"/>
      <c r="K10" s="155"/>
      <c r="L10" s="92"/>
      <c r="M10" s="155"/>
    </row>
    <row r="11" spans="2:13" x14ac:dyDescent="0.25">
      <c r="B11" s="156" t="s">
        <v>16</v>
      </c>
      <c r="C11" s="115" t="str">
        <f>VLOOKUP($B11,'0. Control Panel'!$B$20:$D$55,2,FALSE)</f>
        <v>Improved Marketing Response Rate</v>
      </c>
      <c r="D11" s="116">
        <f>IFERROR(INDEX('2.1 Customer Benefit Output'!$A$1:$U$135,MATCH($C$6&amp;$B11,'2.1 Customer Benefit Output'!$A$1:$A$135,0),MATCH(D$6&amp;$C$4,'2.1 Customer Benefit Output'!$A$1:$U$1,0)),0)</f>
        <v>240000</v>
      </c>
      <c r="E11" s="116">
        <f>IFERROR(INDEX('2.1 Customer Benefit Output'!$A$1:$U$135,MATCH($C$6&amp;$B11,'2.1 Customer Benefit Output'!$A$1:$A$135,0),MATCH(E$6&amp;$C$4,'2.1 Customer Benefit Output'!$A$1:$U$1,0)),0)</f>
        <v>286800</v>
      </c>
      <c r="F11" s="116">
        <f>IFERROR(INDEX('2.1 Customer Benefit Output'!$A$1:$U$135,MATCH($C$6&amp;$B11,'2.1 Customer Benefit Output'!$A$1:$A$135,0),MATCH(F$6&amp;$C$4,'2.1 Customer Benefit Output'!$A$1:$U$1,0)),0)</f>
        <v>150000</v>
      </c>
      <c r="G11" s="121"/>
      <c r="H11" s="116">
        <f t="shared" si="0"/>
        <v>676800</v>
      </c>
      <c r="I11" s="121"/>
      <c r="J11" s="155"/>
      <c r="K11" s="155"/>
      <c r="L11" s="92"/>
      <c r="M11" s="155"/>
    </row>
    <row r="12" spans="2:13" x14ac:dyDescent="0.25">
      <c r="B12" s="156" t="s">
        <v>17</v>
      </c>
      <c r="C12" s="115" t="str">
        <f>VLOOKUP($B12,'0. Control Panel'!$B$20:$D$55,2,FALSE)</f>
        <v>Call Center Efficiency</v>
      </c>
      <c r="D12" s="116">
        <f>IFERROR(INDEX('2.1 Customer Benefit Output'!$A$1:$U$135,MATCH($C$6&amp;$B12,'2.1 Customer Benefit Output'!$A$1:$A$135,0),MATCH(D$6&amp;$C$4,'2.1 Customer Benefit Output'!$A$1:$U$1,0)),0)</f>
        <v>55000.000000000007</v>
      </c>
      <c r="E12" s="116">
        <f>IFERROR(INDEX('2.1 Customer Benefit Output'!$A$1:$U$135,MATCH($C$6&amp;$B12,'2.1 Customer Benefit Output'!$A$1:$A$135,0),MATCH(E$6&amp;$C$4,'2.1 Customer Benefit Output'!$A$1:$U$1,0)),0)</f>
        <v>11274.999999999993</v>
      </c>
      <c r="F12" s="116">
        <f>IFERROR(INDEX('2.1 Customer Benefit Output'!$A$1:$U$135,MATCH($C$6&amp;$B12,'2.1 Customer Benefit Output'!$A$1:$A$135,0),MATCH(F$6&amp;$C$4,'2.1 Customer Benefit Output'!$A$1:$U$1,0)),0)</f>
        <v>0</v>
      </c>
      <c r="G12" s="121"/>
      <c r="H12" s="116">
        <f t="shared" si="0"/>
        <v>66275</v>
      </c>
      <c r="I12" s="121"/>
      <c r="J12" s="155"/>
      <c r="K12" s="155"/>
      <c r="L12" s="92"/>
      <c r="M12" s="155"/>
    </row>
    <row r="13" spans="2:13" x14ac:dyDescent="0.25">
      <c r="B13" s="156" t="s">
        <v>18</v>
      </c>
      <c r="C13" s="115" t="str">
        <f>VLOOKUP($B13,'0. Control Panel'!$B$20:$D$55,2,FALSE)</f>
        <v>Economies of Scale (M&amp;A)</v>
      </c>
      <c r="D13" s="116">
        <f>IFERROR(INDEX('2.1 Customer Benefit Output'!$A$1:$U$135,MATCH($C$6&amp;$B13,'2.1 Customer Benefit Output'!$A$1:$A$135,0),MATCH(D$6&amp;$C$4,'2.1 Customer Benefit Output'!$A$1:$U$1,0)),0)</f>
        <v>924000</v>
      </c>
      <c r="E13" s="116">
        <f>IFERROR(INDEX('2.1 Customer Benefit Output'!$A$1:$U$135,MATCH($C$6&amp;$B13,'2.1 Customer Benefit Output'!$A$1:$A$135,0),MATCH(E$6&amp;$C$4,'2.1 Customer Benefit Output'!$A$1:$U$1,0)),0)</f>
        <v>30970</v>
      </c>
      <c r="F13" s="116">
        <f>IFERROR(INDEX('2.1 Customer Benefit Output'!$A$1:$U$135,MATCH($C$6&amp;$B13,'2.1 Customer Benefit Output'!$A$1:$A$135,0),MATCH(F$6&amp;$C$4,'2.1 Customer Benefit Output'!$A$1:$U$1,0)),0)</f>
        <v>0</v>
      </c>
      <c r="G13" s="121"/>
      <c r="H13" s="116">
        <f t="shared" si="0"/>
        <v>954970</v>
      </c>
      <c r="I13" s="121"/>
      <c r="J13" s="155"/>
      <c r="K13" s="155"/>
      <c r="L13" s="92"/>
      <c r="M13" s="155"/>
    </row>
    <row r="14" spans="2:13" x14ac:dyDescent="0.25">
      <c r="B14" s="156" t="s">
        <v>19</v>
      </c>
      <c r="C14" s="115">
        <f>VLOOKUP($B14,'0. Control Panel'!$B$20:$D$55,2,FALSE)</f>
        <v>0</v>
      </c>
      <c r="D14" s="116">
        <f>IFERROR(INDEX('2.1 Customer Benefit Output'!$A$1:$U$135,MATCH($C$6&amp;$B14,'2.1 Customer Benefit Output'!$A$1:$A$135,0),MATCH(D$6&amp;$C$4,'2.1 Customer Benefit Output'!$A$1:$U$1,0)),0)</f>
        <v>0</v>
      </c>
      <c r="E14" s="116">
        <f>IFERROR(INDEX('2.1 Customer Benefit Output'!$A$1:$U$135,MATCH($C$6&amp;$B14,'2.1 Customer Benefit Output'!$A$1:$A$135,0),MATCH(E$6&amp;$C$4,'2.1 Customer Benefit Output'!$A$1:$U$1,0)),0)</f>
        <v>0</v>
      </c>
      <c r="F14" s="116">
        <f>IFERROR(INDEX('2.1 Customer Benefit Output'!$A$1:$U$135,MATCH($C$6&amp;$B14,'2.1 Customer Benefit Output'!$A$1:$A$135,0),MATCH(F$6&amp;$C$4,'2.1 Customer Benefit Output'!$A$1:$U$1,0)),0)</f>
        <v>0</v>
      </c>
      <c r="G14" s="121"/>
      <c r="H14" s="116">
        <f t="shared" si="0"/>
        <v>0</v>
      </c>
      <c r="I14" s="121"/>
      <c r="J14" s="155"/>
      <c r="K14" s="155"/>
      <c r="L14" s="92"/>
      <c r="M14" s="155"/>
    </row>
    <row r="15" spans="2:13" x14ac:dyDescent="0.25">
      <c r="B15" s="156" t="s">
        <v>20</v>
      </c>
      <c r="C15" s="115">
        <f>VLOOKUP($B15,'0. Control Panel'!$B$20:$D$55,2,FALSE)</f>
        <v>0</v>
      </c>
      <c r="D15" s="116">
        <f>IFERROR(INDEX('2.1 Customer Benefit Output'!$A$1:$U$135,MATCH($C$6&amp;$B15,'2.1 Customer Benefit Output'!$A$1:$A$135,0),MATCH(D$6&amp;$C$4,'2.1 Customer Benefit Output'!$A$1:$U$1,0)),0)</f>
        <v>0</v>
      </c>
      <c r="E15" s="116">
        <f>IFERROR(INDEX('2.1 Customer Benefit Output'!$A$1:$U$135,MATCH($C$6&amp;$B15,'2.1 Customer Benefit Output'!$A$1:$A$135,0),MATCH(E$6&amp;$C$4,'2.1 Customer Benefit Output'!$A$1:$U$1,0)),0)</f>
        <v>0</v>
      </c>
      <c r="F15" s="116">
        <f>IFERROR(INDEX('2.1 Customer Benefit Output'!$A$1:$U$135,MATCH($C$6&amp;$B15,'2.1 Customer Benefit Output'!$A$1:$A$135,0),MATCH(F$6&amp;$C$4,'2.1 Customer Benefit Output'!$A$1:$U$1,0)),0)</f>
        <v>0</v>
      </c>
      <c r="G15" s="121"/>
      <c r="H15" s="116">
        <f t="shared" si="0"/>
        <v>0</v>
      </c>
      <c r="I15" s="121"/>
      <c r="J15" s="155"/>
      <c r="K15" s="155"/>
      <c r="L15" s="92"/>
      <c r="M15" s="155"/>
    </row>
    <row r="16" spans="2:13" x14ac:dyDescent="0.25">
      <c r="B16" s="158" t="s">
        <v>21</v>
      </c>
      <c r="C16" s="129">
        <f>VLOOKUP($B16,'0. Control Panel'!$B$20:$D$55,2,FALSE)</f>
        <v>0</v>
      </c>
      <c r="D16" s="120">
        <f>IFERROR(INDEX('2.1 Customer Benefit Output'!$A$1:$U$135,MATCH($C$6&amp;$B16,'2.1 Customer Benefit Output'!$A$1:$A$135,0),MATCH(D$6&amp;$C$4,'2.1 Customer Benefit Output'!$A$1:$U$1,0)),0)</f>
        <v>0</v>
      </c>
      <c r="E16" s="120">
        <f>IFERROR(INDEX('2.1 Customer Benefit Output'!$A$1:$U$135,MATCH($C$6&amp;$B16,'2.1 Customer Benefit Output'!$A$1:$A$135,0),MATCH(E$6&amp;$C$4,'2.1 Customer Benefit Output'!$A$1:$U$1,0)),0)</f>
        <v>0</v>
      </c>
      <c r="F16" s="120">
        <f>IFERROR(INDEX('2.1 Customer Benefit Output'!$A$1:$U$135,MATCH($C$6&amp;$B16,'2.1 Customer Benefit Output'!$A$1:$A$135,0),MATCH(F$6&amp;$C$4,'2.1 Customer Benefit Output'!$A$1:$U$1,0)),0)</f>
        <v>0</v>
      </c>
      <c r="G16" s="121"/>
      <c r="H16" s="120">
        <f t="shared" si="0"/>
        <v>0</v>
      </c>
      <c r="I16" s="121"/>
      <c r="J16" s="155"/>
      <c r="K16" s="155"/>
      <c r="L16" s="92"/>
      <c r="M16" s="155"/>
    </row>
    <row r="17" spans="2:13" ht="16.5" thickBot="1" x14ac:dyDescent="0.3">
      <c r="C17" s="159" t="s">
        <v>72</v>
      </c>
      <c r="D17" s="131">
        <f>SUM(D7:D16)</f>
        <v>3842100</v>
      </c>
      <c r="E17" s="131">
        <f t="shared" ref="E17:H17" si="1">SUM(E7:E16)</f>
        <v>2968880</v>
      </c>
      <c r="F17" s="131">
        <f t="shared" si="1"/>
        <v>2000000</v>
      </c>
      <c r="G17" s="160"/>
      <c r="H17" s="131">
        <f t="shared" si="1"/>
        <v>8810980</v>
      </c>
      <c r="I17" s="121"/>
      <c r="J17" s="155"/>
      <c r="K17" s="155"/>
      <c r="L17" s="92"/>
      <c r="M17" s="155"/>
    </row>
    <row r="18" spans="2:13" ht="16.5" thickTop="1" x14ac:dyDescent="0.25">
      <c r="D18" s="121"/>
      <c r="E18" s="121"/>
      <c r="F18" s="121"/>
      <c r="G18" s="121"/>
      <c r="H18" s="121"/>
      <c r="I18" s="121"/>
      <c r="J18" s="92"/>
      <c r="K18" s="92"/>
      <c r="L18" s="92"/>
      <c r="M18" s="92"/>
    </row>
    <row r="19" spans="2:13" x14ac:dyDescent="0.25">
      <c r="B19" s="154" t="s">
        <v>22</v>
      </c>
      <c r="C19" s="111" t="str">
        <f>VLOOKUP($B19,'0. Control Panel'!$B$20:$D$55,2,FALSE)</f>
        <v>Reduced Data Management Costs</v>
      </c>
      <c r="D19" s="112">
        <f>IFERROR(INDEX('3.1 Product Benefit Output'!$A$1:$U$134,MATCH($C$6&amp;$B19,'3.1 Product Benefit Output'!$A$1:$A$134,0),MATCH(D$6&amp;$C$4,'3.1 Product Benefit Output'!$A$1:$U$1,0)),0)</f>
        <v>924000.00000000023</v>
      </c>
      <c r="E19" s="112">
        <f>IFERROR(INDEX('3.1 Product Benefit Output'!$A$1:$U$134,MATCH($C$6&amp;$B19,'3.1 Product Benefit Output'!$A$1:$A$134,0),MATCH(E$6&amp;$C$4,'3.1 Product Benefit Output'!$A$1:$U$1,0)),0)</f>
        <v>263485.00000000023</v>
      </c>
      <c r="F19" s="112">
        <f>IFERROR(INDEX('3.1 Product Benefit Output'!$A$1:$U$134,MATCH($C$6&amp;$B19,'3.1 Product Benefit Output'!$A$1:$A$134,0),MATCH(F$6&amp;$C$4,'3.1 Product Benefit Output'!$A$1:$U$1,0)),0)</f>
        <v>350000</v>
      </c>
      <c r="G19" s="121"/>
      <c r="H19" s="112">
        <f t="shared" ref="H19:H28" si="2">SUM(D19:F19)</f>
        <v>1537485.0000000005</v>
      </c>
      <c r="I19" s="121"/>
      <c r="J19" s="155"/>
      <c r="K19" s="155"/>
      <c r="L19" s="92"/>
      <c r="M19" s="155"/>
    </row>
    <row r="20" spans="2:13" x14ac:dyDescent="0.25">
      <c r="B20" s="156" t="s">
        <v>23</v>
      </c>
      <c r="C20" s="115" t="str">
        <f>VLOOKUP($B20,'0. Control Panel'!$B$20:$D$55,2,FALSE)</f>
        <v>Reduced Report Generation Cost</v>
      </c>
      <c r="D20" s="116">
        <f>IFERROR(INDEX('3.1 Product Benefit Output'!$A$1:$U$134,MATCH($C$6&amp;$B20,'3.1 Product Benefit Output'!$A$1:$A$134,0),MATCH(D$6&amp;$C$4,'3.1 Product Benefit Output'!$A$1:$U$1,0)),0)</f>
        <v>0</v>
      </c>
      <c r="E20" s="116">
        <f>IFERROR(INDEX('3.1 Product Benefit Output'!$A$1:$U$134,MATCH($C$6&amp;$B20,'3.1 Product Benefit Output'!$A$1:$A$134,0),MATCH(E$6&amp;$C$4,'3.1 Product Benefit Output'!$A$1:$U$1,0)),0)</f>
        <v>509490</v>
      </c>
      <c r="F20" s="116">
        <f>IFERROR(INDEX('3.1 Product Benefit Output'!$A$1:$U$134,MATCH($C$6&amp;$B20,'3.1 Product Benefit Output'!$A$1:$A$134,0),MATCH(F$6&amp;$C$4,'3.1 Product Benefit Output'!$A$1:$U$1,0)),0)</f>
        <v>0</v>
      </c>
      <c r="G20" s="121"/>
      <c r="H20" s="116">
        <f t="shared" si="2"/>
        <v>509490</v>
      </c>
      <c r="I20" s="121"/>
      <c r="J20" s="155"/>
      <c r="K20" s="155"/>
      <c r="L20" s="92"/>
      <c r="M20" s="155"/>
    </row>
    <row r="21" spans="2:13" x14ac:dyDescent="0.25">
      <c r="B21" s="156" t="s">
        <v>24</v>
      </c>
      <c r="C21" s="115" t="str">
        <f>VLOOKUP($B21,'0. Control Panel'!$B$20:$D$55,2,FALSE)</f>
        <v>Reduced Integration Costs</v>
      </c>
      <c r="D21" s="116">
        <f>IFERROR(INDEX('3.1 Product Benefit Output'!$A$1:$U$134,MATCH($C$6&amp;$B21,'3.1 Product Benefit Output'!$A$1:$A$134,0),MATCH(D$6&amp;$C$4,'3.1 Product Benefit Output'!$A$1:$U$1,0)),0)</f>
        <v>0</v>
      </c>
      <c r="E21" s="116">
        <f>IFERROR(INDEX('3.1 Product Benefit Output'!$A$1:$U$134,MATCH($C$6&amp;$B21,'3.1 Product Benefit Output'!$A$1:$A$134,0),MATCH(E$6&amp;$C$4,'3.1 Product Benefit Output'!$A$1:$U$1,0)),0)</f>
        <v>46305</v>
      </c>
      <c r="F21" s="116">
        <f>IFERROR(INDEX('3.1 Product Benefit Output'!$A$1:$U$134,MATCH($C$6&amp;$B21,'3.1 Product Benefit Output'!$A$1:$A$134,0),MATCH(F$6&amp;$C$4,'3.1 Product Benefit Output'!$A$1:$U$1,0)),0)</f>
        <v>0</v>
      </c>
      <c r="G21" s="121"/>
      <c r="H21" s="116">
        <f t="shared" si="2"/>
        <v>46305</v>
      </c>
      <c r="I21" s="121"/>
      <c r="J21" s="155"/>
      <c r="K21" s="155"/>
      <c r="L21" s="92"/>
      <c r="M21" s="155"/>
    </row>
    <row r="22" spans="2:13" x14ac:dyDescent="0.25">
      <c r="B22" s="156" t="s">
        <v>25</v>
      </c>
      <c r="C22" s="115" t="str">
        <f>VLOOKUP($B22,'0. Control Panel'!$B$20:$D$55,2,FALSE)</f>
        <v>Reduced Marketing Costs</v>
      </c>
      <c r="D22" s="116">
        <f>IFERROR(INDEX('3.1 Product Benefit Output'!$A$1:$U$134,MATCH($C$6&amp;$B22,'3.1 Product Benefit Output'!$A$1:$A$134,0),MATCH(D$6&amp;$C$4,'3.1 Product Benefit Output'!$A$1:$U$1,0)),0)</f>
        <v>80000</v>
      </c>
      <c r="E22" s="116">
        <f>IFERROR(INDEX('3.1 Product Benefit Output'!$A$1:$U$134,MATCH($C$6&amp;$B22,'3.1 Product Benefit Output'!$A$1:$A$134,0),MATCH(E$6&amp;$C$4,'3.1 Product Benefit Output'!$A$1:$U$1,0)),0)</f>
        <v>637600</v>
      </c>
      <c r="F22" s="116">
        <f>IFERROR(INDEX('3.1 Product Benefit Output'!$A$1:$U$134,MATCH($C$6&amp;$B22,'3.1 Product Benefit Output'!$A$1:$A$134,0),MATCH(F$6&amp;$C$4,'3.1 Product Benefit Output'!$A$1:$U$1,0)),0)</f>
        <v>0</v>
      </c>
      <c r="G22" s="121"/>
      <c r="H22" s="116">
        <f t="shared" si="2"/>
        <v>717600</v>
      </c>
      <c r="I22" s="121"/>
      <c r="J22" s="155"/>
      <c r="K22" s="155"/>
      <c r="L22" s="92"/>
      <c r="M22" s="155"/>
    </row>
    <row r="23" spans="2:13" x14ac:dyDescent="0.25">
      <c r="B23" s="156" t="s">
        <v>26</v>
      </c>
      <c r="C23" s="115" t="str">
        <f>VLOOKUP($B23,'0. Control Panel'!$B$20:$D$55,2,FALSE)</f>
        <v>Reduced Time to Take New Product to Market</v>
      </c>
      <c r="D23" s="116">
        <f>IFERROR(INDEX('3.1 Product Benefit Output'!$A$1:$U$134,MATCH($C$6&amp;$B23,'3.1 Product Benefit Output'!$A$1:$A$134,0),MATCH(D$6&amp;$C$4,'3.1 Product Benefit Output'!$A$1:$U$1,0)),0)</f>
        <v>1176000</v>
      </c>
      <c r="E23" s="116">
        <f>IFERROR(INDEX('3.1 Product Benefit Output'!$A$1:$U$134,MATCH($C$6&amp;$B23,'3.1 Product Benefit Output'!$A$1:$A$134,0),MATCH(E$6&amp;$C$4,'3.1 Product Benefit Output'!$A$1:$U$1,0)),0)</f>
        <v>0</v>
      </c>
      <c r="F23" s="116">
        <f>IFERROR(INDEX('3.1 Product Benefit Output'!$A$1:$U$134,MATCH($C$6&amp;$B23,'3.1 Product Benefit Output'!$A$1:$A$134,0),MATCH(F$6&amp;$C$4,'3.1 Product Benefit Output'!$A$1:$U$1,0)),0)</f>
        <v>0</v>
      </c>
      <c r="G23" s="121"/>
      <c r="H23" s="116">
        <f t="shared" si="2"/>
        <v>1176000</v>
      </c>
      <c r="I23" s="121"/>
      <c r="J23" s="155"/>
      <c r="K23" s="155"/>
      <c r="L23" s="92"/>
      <c r="M23" s="155"/>
    </row>
    <row r="24" spans="2:13" x14ac:dyDescent="0.25">
      <c r="B24" s="156" t="s">
        <v>27</v>
      </c>
      <c r="C24" s="115" t="str">
        <f>VLOOKUP($B24,'0. Control Panel'!$B$20:$D$55,2,FALSE)</f>
        <v>Reduced Credit Risk Costs</v>
      </c>
      <c r="D24" s="116">
        <f>IFERROR(INDEX('3.1 Product Benefit Output'!$A$1:$U$134,MATCH($C$6&amp;$B24,'3.1 Product Benefit Output'!$A$1:$A$134,0),MATCH(D$6&amp;$C$4,'3.1 Product Benefit Output'!$A$1:$U$1,0)),0)</f>
        <v>159000</v>
      </c>
      <c r="E24" s="116">
        <f>IFERROR(INDEX('3.1 Product Benefit Output'!$A$1:$U$134,MATCH($C$6&amp;$B24,'3.1 Product Benefit Output'!$A$1:$A$134,0),MATCH(E$6&amp;$C$4,'3.1 Product Benefit Output'!$A$1:$U$1,0)),0)</f>
        <v>69960</v>
      </c>
      <c r="F24" s="116">
        <f>IFERROR(INDEX('3.1 Product Benefit Output'!$A$1:$U$134,MATCH($C$6&amp;$B24,'3.1 Product Benefit Output'!$A$1:$A$134,0),MATCH(F$6&amp;$C$4,'3.1 Product Benefit Output'!$A$1:$U$1,0)),0)</f>
        <v>0</v>
      </c>
      <c r="G24" s="121"/>
      <c r="H24" s="116">
        <f t="shared" si="2"/>
        <v>228960</v>
      </c>
      <c r="I24" s="121"/>
      <c r="J24" s="155"/>
      <c r="K24" s="155"/>
      <c r="L24" s="92"/>
      <c r="M24" s="155"/>
    </row>
    <row r="25" spans="2:13" x14ac:dyDescent="0.25">
      <c r="B25" s="156" t="s">
        <v>28</v>
      </c>
      <c r="C25" s="115" t="str">
        <f>VLOOKUP($B25,'0. Control Panel'!$B$20:$D$55,2,FALSE)</f>
        <v>Reduced Non-Compliance Risk  Costs</v>
      </c>
      <c r="D25" s="116">
        <f>IFERROR(INDEX('3.1 Product Benefit Output'!$A$1:$U$134,MATCH($C$6&amp;$B25,'3.1 Product Benefit Output'!$A$1:$A$134,0),MATCH(D$6&amp;$C$4,'3.1 Product Benefit Output'!$A$1:$U$1,0)),0)</f>
        <v>249000</v>
      </c>
      <c r="E25" s="116">
        <f>IFERROR(INDEX('3.1 Product Benefit Output'!$A$1:$U$134,MATCH($C$6&amp;$B25,'3.1 Product Benefit Output'!$A$1:$A$134,0),MATCH(E$6&amp;$C$4,'3.1 Product Benefit Output'!$A$1:$U$1,0)),0)</f>
        <v>0</v>
      </c>
      <c r="F25" s="116">
        <f>IFERROR(INDEX('3.1 Product Benefit Output'!$A$1:$U$134,MATCH($C$6&amp;$B25,'3.1 Product Benefit Output'!$A$1:$A$134,0),MATCH(F$6&amp;$C$4,'3.1 Product Benefit Output'!$A$1:$U$1,0)),0)</f>
        <v>50000</v>
      </c>
      <c r="G25" s="121"/>
      <c r="H25" s="116">
        <f t="shared" si="2"/>
        <v>299000</v>
      </c>
      <c r="I25" s="121"/>
      <c r="J25" s="155"/>
      <c r="K25" s="155"/>
      <c r="L25" s="92"/>
      <c r="M25" s="155"/>
    </row>
    <row r="26" spans="2:13" x14ac:dyDescent="0.25">
      <c r="B26" s="156" t="s">
        <v>29</v>
      </c>
      <c r="C26" s="115">
        <f>VLOOKUP($B26,'0. Control Panel'!$B$20:$D$55,2,FALSE)</f>
        <v>0</v>
      </c>
      <c r="D26" s="116">
        <f>IFERROR(INDEX('3.1 Product Benefit Output'!$A$1:$U$134,MATCH($C$6&amp;$B26,'3.1 Product Benefit Output'!$A$1:$A$134,0),MATCH(D$6&amp;$C$4,'3.1 Product Benefit Output'!$A$1:$U$1,0)),0)</f>
        <v>0</v>
      </c>
      <c r="E26" s="116">
        <f>IFERROR(INDEX('3.1 Product Benefit Output'!$A$1:$U$134,MATCH($C$6&amp;$B26,'3.1 Product Benefit Output'!$A$1:$A$134,0),MATCH(E$6&amp;$C$4,'3.1 Product Benefit Output'!$A$1:$U$1,0)),0)</f>
        <v>0</v>
      </c>
      <c r="F26" s="116">
        <f>IFERROR(INDEX('3.1 Product Benefit Output'!$A$1:$U$134,MATCH($C$6&amp;$B26,'3.1 Product Benefit Output'!$A$1:$A$134,0),MATCH(F$6&amp;$C$4,'3.1 Product Benefit Output'!$A$1:$U$1,0)),0)</f>
        <v>0</v>
      </c>
      <c r="G26" s="121"/>
      <c r="H26" s="116">
        <f t="shared" si="2"/>
        <v>0</v>
      </c>
      <c r="I26" s="121"/>
      <c r="J26" s="155"/>
      <c r="K26" s="155"/>
      <c r="L26" s="92"/>
      <c r="M26" s="155"/>
    </row>
    <row r="27" spans="2:13" x14ac:dyDescent="0.25">
      <c r="B27" s="156" t="s">
        <v>30</v>
      </c>
      <c r="C27" s="115">
        <f>VLOOKUP($B27,'0. Control Panel'!$B$20:$D$55,2,FALSE)</f>
        <v>0</v>
      </c>
      <c r="D27" s="116">
        <f>IFERROR(INDEX('3.1 Product Benefit Output'!$A$1:$U$134,MATCH($C$6&amp;$B27,'3.1 Product Benefit Output'!$A$1:$A$134,0),MATCH(D$6&amp;$C$4,'3.1 Product Benefit Output'!$A$1:$U$1,0)),0)</f>
        <v>0</v>
      </c>
      <c r="E27" s="116">
        <f>IFERROR(INDEX('3.1 Product Benefit Output'!$A$1:$U$134,MATCH($C$6&amp;$B27,'3.1 Product Benefit Output'!$A$1:$A$134,0),MATCH(E$6&amp;$C$4,'3.1 Product Benefit Output'!$A$1:$U$1,0)),0)</f>
        <v>0</v>
      </c>
      <c r="F27" s="116">
        <f>IFERROR(INDEX('3.1 Product Benefit Output'!$A$1:$U$134,MATCH($C$6&amp;$B27,'3.1 Product Benefit Output'!$A$1:$A$134,0),MATCH(F$6&amp;$C$4,'3.1 Product Benefit Output'!$A$1:$U$1,0)),0)</f>
        <v>0</v>
      </c>
      <c r="G27" s="121"/>
      <c r="H27" s="116">
        <f t="shared" si="2"/>
        <v>0</v>
      </c>
      <c r="I27" s="121"/>
      <c r="J27" s="155"/>
      <c r="K27" s="155"/>
      <c r="L27" s="92"/>
      <c r="M27" s="155"/>
    </row>
    <row r="28" spans="2:13" x14ac:dyDescent="0.25">
      <c r="B28" s="158" t="s">
        <v>31</v>
      </c>
      <c r="C28" s="129">
        <f>VLOOKUP($B28,'0. Control Panel'!$B$20:$D$55,2,FALSE)</f>
        <v>0</v>
      </c>
      <c r="D28" s="120">
        <f>IFERROR(INDEX('3.1 Product Benefit Output'!$A$1:$U$134,MATCH($C$6&amp;$B28,'3.1 Product Benefit Output'!$A$1:$A$134,0),MATCH(D$6&amp;$C$4,'3.1 Product Benefit Output'!$A$1:$U$1,0)),0)</f>
        <v>0</v>
      </c>
      <c r="E28" s="120">
        <f>IFERROR(INDEX('3.1 Product Benefit Output'!$A$1:$U$134,MATCH($C$6&amp;$B28,'3.1 Product Benefit Output'!$A$1:$A$134,0),MATCH(E$6&amp;$C$4,'3.1 Product Benefit Output'!$A$1:$U$1,0)),0)</f>
        <v>0</v>
      </c>
      <c r="F28" s="120">
        <f>IFERROR(INDEX('3.1 Product Benefit Output'!$A$1:$U$134,MATCH($C$6&amp;$B28,'3.1 Product Benefit Output'!$A$1:$A$134,0),MATCH(F$6&amp;$C$4,'3.1 Product Benefit Output'!$A$1:$U$1,0)),0)</f>
        <v>0</v>
      </c>
      <c r="G28" s="121"/>
      <c r="H28" s="120">
        <f t="shared" si="2"/>
        <v>0</v>
      </c>
      <c r="I28" s="121"/>
      <c r="J28" s="155"/>
      <c r="K28" s="155"/>
      <c r="L28" s="92"/>
      <c r="M28" s="155"/>
    </row>
    <row r="29" spans="2:13" ht="16.5" thickBot="1" x14ac:dyDescent="0.3">
      <c r="C29" s="159" t="s">
        <v>72</v>
      </c>
      <c r="D29" s="131">
        <f>SUM(D19:D28)</f>
        <v>2588000</v>
      </c>
      <c r="E29" s="131">
        <f t="shared" ref="E29" si="3">SUM(E19:E28)</f>
        <v>1526840.0000000002</v>
      </c>
      <c r="F29" s="131">
        <f t="shared" ref="F29" si="4">SUM(F19:F28)</f>
        <v>400000</v>
      </c>
      <c r="G29" s="160"/>
      <c r="H29" s="131">
        <f t="shared" ref="H29" si="5">SUM(H19:H28)</f>
        <v>4514840</v>
      </c>
      <c r="I29" s="121"/>
      <c r="J29" s="155"/>
      <c r="K29" s="155"/>
      <c r="L29" s="92"/>
      <c r="M29" s="155"/>
    </row>
    <row r="30" spans="2:13" ht="16.5" thickTop="1" x14ac:dyDescent="0.25">
      <c r="D30" s="121"/>
      <c r="E30" s="121"/>
      <c r="F30" s="121"/>
      <c r="G30" s="121"/>
      <c r="H30" s="121"/>
      <c r="I30" s="121"/>
      <c r="J30" s="92"/>
      <c r="K30" s="92"/>
      <c r="L30" s="92"/>
      <c r="M30" s="92"/>
    </row>
    <row r="31" spans="2:13" x14ac:dyDescent="0.25">
      <c r="B31" s="154" t="s">
        <v>54</v>
      </c>
      <c r="C31" s="111" t="str">
        <f>VLOOKUP($B31,'0. Control Panel'!$B$20:$D$55,2,FALSE)</f>
        <v>Application Licenses</v>
      </c>
      <c r="D31" s="161"/>
      <c r="E31" s="161"/>
      <c r="F31" s="161"/>
      <c r="G31" s="161"/>
      <c r="H31" s="161"/>
      <c r="I31" s="162"/>
      <c r="J31" s="116">
        <f>IFERROR(INDEX('4. Implementation Costs'!$C$20:$E$32,MATCH($C$6,'4. Implementation Costs'!$C$20:$C$32,0),MATCH(J$6,'4. Implementation Costs'!$C$20:$E$20,0)),0)</f>
        <v>-117247.50000000001</v>
      </c>
      <c r="K31" s="116">
        <f>IFERROR(INDEX('4. Implementation Costs'!$C$20:$E$32,MATCH($C$6,'4. Implementation Costs'!$C$20:$C$32,0),MATCH(K$6,'4. Implementation Costs'!$C$20:$E$20,0)),0)</f>
        <v>-770000</v>
      </c>
      <c r="L31" s="92"/>
      <c r="M31" s="111">
        <f>SUM(J31:K31)</f>
        <v>-887247.5</v>
      </c>
    </row>
    <row r="32" spans="2:13" x14ac:dyDescent="0.25">
      <c r="B32" s="156" t="s">
        <v>55</v>
      </c>
      <c r="C32" s="115" t="str">
        <f>VLOOKUP($B32,'0. Control Panel'!$B$20:$D$55,2,FALSE)</f>
        <v>Annual Maintenance</v>
      </c>
      <c r="D32" s="161"/>
      <c r="E32" s="161"/>
      <c r="F32" s="161"/>
      <c r="G32" s="161"/>
      <c r="H32" s="161"/>
      <c r="I32" s="162"/>
      <c r="J32" s="116">
        <f>IFERROR(INDEX('4. Implementation Costs'!$H$20:$J$32,MATCH($C$6,'4. Implementation Costs'!$H$20:$H$32,0),MATCH(J$6,'4. Implementation Costs'!$H$20:$J$20,0)),0)</f>
        <v>-58623.750000000007</v>
      </c>
      <c r="K32" s="116">
        <f>IFERROR(INDEX('4. Implementation Costs'!$H$20:$J$32,MATCH($C$6,'4. Implementation Costs'!$H$20:$H$32,0),MATCH(K$6,'4. Implementation Costs'!$H$20:$J$20,0)),0)</f>
        <v>0</v>
      </c>
      <c r="L32" s="92"/>
      <c r="M32" s="115">
        <f t="shared" ref="M32:M37" si="6">SUM(J32:K32)</f>
        <v>-58623.750000000007</v>
      </c>
    </row>
    <row r="33" spans="2:13" x14ac:dyDescent="0.25">
      <c r="B33" s="156" t="s">
        <v>56</v>
      </c>
      <c r="C33" s="115" t="str">
        <f>VLOOKUP($B33,'0. Control Panel'!$B$20:$D$55,2,FALSE)</f>
        <v>Removal of Existing Software</v>
      </c>
      <c r="D33" s="161"/>
      <c r="E33" s="161"/>
      <c r="F33" s="161"/>
      <c r="G33" s="161"/>
      <c r="H33" s="161"/>
      <c r="I33" s="162"/>
      <c r="J33" s="116">
        <f>IFERROR(INDEX('4. Implementation Costs'!$C$37:$E$49,MATCH($C$6,'4. Implementation Costs'!$C$37:$C$49,0),MATCH(J$6,'4. Implementation Costs'!$C$37:$E$37,0)),0)</f>
        <v>-117247.50000000001</v>
      </c>
      <c r="K33" s="116">
        <f>IFERROR(INDEX('4. Implementation Costs'!$C$37:$E$49,MATCH($C$6,'4. Implementation Costs'!$C$37:$C$49,0),MATCH(K$6,'4. Implementation Costs'!$C$37:$E$37,0)),0)</f>
        <v>-190000</v>
      </c>
      <c r="L33" s="92"/>
      <c r="M33" s="115">
        <f t="shared" si="6"/>
        <v>-307247.5</v>
      </c>
    </row>
    <row r="34" spans="2:13" x14ac:dyDescent="0.25">
      <c r="B34" s="156" t="s">
        <v>57</v>
      </c>
      <c r="C34" s="115" t="str">
        <f>VLOOKUP($B34,'0. Control Panel'!$B$20:$D$55,2,FALSE)</f>
        <v>Implementation of New Software</v>
      </c>
      <c r="D34" s="161"/>
      <c r="E34" s="161"/>
      <c r="F34" s="161"/>
      <c r="G34" s="161"/>
      <c r="H34" s="161"/>
      <c r="I34" s="162"/>
      <c r="J34" s="116">
        <f>IFERROR(INDEX('4. Implementation Costs'!$H$37:$J$49,MATCH($C$6,'4. Implementation Costs'!$H$37:$H$49,0),MATCH(J$6,'4. Implementation Costs'!$H$37:$J$37,0)),0)</f>
        <v>-234495.00000000003</v>
      </c>
      <c r="K34" s="116">
        <f>IFERROR(INDEX('4. Implementation Costs'!$H$37:$J$49,MATCH($C$6,'4. Implementation Costs'!$H$37:$H$49,0),MATCH(K$6,'4. Implementation Costs'!$H$37:$J$37,0)),0)</f>
        <v>-450000</v>
      </c>
      <c r="L34" s="92"/>
      <c r="M34" s="115">
        <f t="shared" si="6"/>
        <v>-684495</v>
      </c>
    </row>
    <row r="35" spans="2:13" x14ac:dyDescent="0.25">
      <c r="B35" s="156" t="s">
        <v>58</v>
      </c>
      <c r="C35" s="115" t="str">
        <f>VLOOKUP($B35,'0. Control Panel'!$B$20:$D$55,2,FALSE)</f>
        <v>New Hardware/Infrastructure</v>
      </c>
      <c r="D35" s="161"/>
      <c r="E35" s="161"/>
      <c r="F35" s="161"/>
      <c r="G35" s="161"/>
      <c r="H35" s="161"/>
      <c r="I35" s="162"/>
      <c r="J35" s="116">
        <f>IFERROR(INDEX('4. Implementation Costs'!$C$54:$E$66,MATCH($C$6,'4. Implementation Costs'!$C$54:$C$66,0),MATCH(J$6,'4. Implementation Costs'!$C$54:$E$54,0)),0)</f>
        <v>-586237.5</v>
      </c>
      <c r="K35" s="116">
        <f>IFERROR(INDEX('4. Implementation Costs'!$C$54:$E$66,MATCH($C$6,'4. Implementation Costs'!$C$54:$C$66,0),MATCH(K$6,'4. Implementation Costs'!$C$54:$E$54,0)),0)</f>
        <v>-6850000</v>
      </c>
      <c r="L35" s="92"/>
      <c r="M35" s="115">
        <f t="shared" si="6"/>
        <v>-7436237.5</v>
      </c>
    </row>
    <row r="36" spans="2:13" x14ac:dyDescent="0.25">
      <c r="B36" s="156" t="s">
        <v>59</v>
      </c>
      <c r="C36" s="115" t="str">
        <f>VLOOKUP($B36,'0. Control Panel'!$B$20:$D$55,2,FALSE)</f>
        <v>Training/Change Management</v>
      </c>
      <c r="D36" s="161"/>
      <c r="E36" s="161"/>
      <c r="F36" s="161"/>
      <c r="G36" s="161"/>
      <c r="H36" s="161"/>
      <c r="I36" s="162"/>
      <c r="J36" s="116">
        <f>IFERROR(INDEX('4. Implementation Costs'!$C$71:$E$83,MATCH($C$6,'4. Implementation Costs'!$C$71:$C$83,0),MATCH(J$6,'4. Implementation Costs'!$C$71:$F$71,0)),0)</f>
        <v>-58623.750000000007</v>
      </c>
      <c r="K36" s="116">
        <f>IFERROR(INDEX('4. Implementation Costs'!$C$71:$E$83,MATCH($C$6,'4. Implementation Costs'!$C$71:$C$83,0),MATCH(K$6,'4. Implementation Costs'!$C$71:$F$71,0)),0)</f>
        <v>-5690000</v>
      </c>
      <c r="L36" s="92"/>
      <c r="M36" s="115">
        <f t="shared" si="6"/>
        <v>-5748623.75</v>
      </c>
    </row>
    <row r="37" spans="2:13" x14ac:dyDescent="0.25">
      <c r="B37" s="158" t="s">
        <v>60</v>
      </c>
      <c r="C37" s="129" t="str">
        <f>VLOOKUP($B37,'0. Control Panel'!$B$20:$D$55,2,FALSE)</f>
        <v>Other (travel, administrative)</v>
      </c>
      <c r="D37" s="161"/>
      <c r="E37" s="161"/>
      <c r="F37" s="161"/>
      <c r="G37" s="161"/>
      <c r="H37" s="161"/>
      <c r="I37" s="162"/>
      <c r="J37" s="120">
        <f>IFERROR(INDEX('4. Implementation Costs'!$H$71:$J$83,MATCH($C$6,'4. Implementation Costs'!$H$71:$H$83,0),MATCH(J$6,'4. Implementation Costs'!$H$71:$J$71,0)),0)</f>
        <v>0</v>
      </c>
      <c r="K37" s="120">
        <f>IFERROR(INDEX('4. Implementation Costs'!$H$71:$J$83,MATCH($C$6,'4. Implementation Costs'!$H$71:$H$83,0),MATCH(K$6,'4. Implementation Costs'!$H$71:$J$71,0)),0)</f>
        <v>-250000</v>
      </c>
      <c r="L37" s="92"/>
      <c r="M37" s="129">
        <f t="shared" si="6"/>
        <v>-250000</v>
      </c>
    </row>
    <row r="38" spans="2:13" x14ac:dyDescent="0.25">
      <c r="B38" s="318" t="s">
        <v>172</v>
      </c>
      <c r="C38" s="129" t="str">
        <f>VLOOKUP($B38,'0. Control Panel'!$B$20:$D$56,2,FALSE)</f>
        <v>SI Cost</v>
      </c>
      <c r="D38" s="161"/>
      <c r="E38" s="161"/>
      <c r="F38" s="161"/>
      <c r="G38" s="161"/>
      <c r="H38" s="161"/>
      <c r="I38" s="162"/>
      <c r="J38" s="120">
        <f>IFERROR(INDEX('4. Implementation Costs'!$C$87:$E$99,MATCH($C$6,'4. Implementation Costs'!$C$87:$C$99,0),MATCH(J$6,'4. Implementation Costs'!$C$87:$E$87,0)),0)</f>
        <v>0</v>
      </c>
      <c r="K38" s="120">
        <f>IFERROR(INDEX('4. Implementation Costs'!$C$87:$E$99,MATCH($C$6,'4. Implementation Costs'!$C$87:$C$99,0),MATCH(K$6,'4. Implementation Costs'!$C$87:$E$87,0)),0)</f>
        <v>-5900000</v>
      </c>
      <c r="L38" s="92"/>
      <c r="M38" s="129">
        <f t="shared" ref="M38" si="7">SUM(J38:K38)</f>
        <v>-5900000</v>
      </c>
    </row>
    <row r="39" spans="2:13" ht="16.5" thickBot="1" x14ac:dyDescent="0.3">
      <c r="D39" s="161"/>
      <c r="E39" s="161"/>
      <c r="F39" s="161"/>
      <c r="G39" s="161"/>
      <c r="H39" s="159" t="s">
        <v>72</v>
      </c>
      <c r="I39" s="163"/>
      <c r="J39" s="146">
        <f>SUM(J31:J38)</f>
        <v>-1172475</v>
      </c>
      <c r="K39" s="146">
        <f>SUM(K31:K38)</f>
        <v>-20100000</v>
      </c>
      <c r="L39" s="164"/>
      <c r="M39" s="146">
        <f>SUM(M31:M38)</f>
        <v>-21272475</v>
      </c>
    </row>
    <row r="40" spans="2:13" ht="16.5" thickTop="1" x14ac:dyDescent="0.25"/>
    <row r="41" spans="2:13" x14ac:dyDescent="0.25">
      <c r="D41" s="71"/>
      <c r="E41" s="71"/>
      <c r="F41" s="71"/>
      <c r="G41" s="71"/>
      <c r="H41" s="71"/>
      <c r="I41" s="71"/>
      <c r="J41" s="71"/>
      <c r="K41" s="71"/>
    </row>
    <row r="42" spans="2:13" ht="16.5" thickBot="1" x14ac:dyDescent="0.3">
      <c r="B42" s="47"/>
      <c r="C42" s="165"/>
      <c r="D42" s="166"/>
      <c r="E42" s="166"/>
      <c r="F42" s="166"/>
      <c r="G42" s="87"/>
      <c r="H42" s="166"/>
      <c r="I42" s="87"/>
      <c r="J42" s="47"/>
      <c r="K42" s="47"/>
      <c r="L42" s="47"/>
      <c r="M42" s="47"/>
    </row>
    <row r="43" spans="2:13" ht="16.5" thickTop="1" x14ac:dyDescent="0.25">
      <c r="D43" s="121"/>
      <c r="E43" s="121"/>
      <c r="F43" s="121"/>
      <c r="H43" s="121"/>
    </row>
    <row r="44" spans="2:13" x14ac:dyDescent="0.25">
      <c r="C44" s="167"/>
      <c r="D44" s="121"/>
      <c r="E44" s="121"/>
      <c r="F44" s="121"/>
      <c r="H44" s="121"/>
    </row>
  </sheetData>
  <sheetProtection algorithmName="SHA-512" hashValue="X00PNqB3r5+YslQzP5nf8i+10q4jj0y8J0h2XwzFzelAuZhv7M6lZ01lYA5Q5K8+cpZFZG8B7KqAIDXks1uOeQ==" saltValue="Hhrr+uI83Gl5IAMnjJCfAg==" spinCount="100000" sheet="1" objects="1" scenarios="1" selectLockedCells="1" selectUnlockedCells="1"/>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'0. Control Panel'!$C$44:$C$46</xm:f>
          </x14:formula1>
          <xm:sqref>C4</xm:sqref>
        </x14:dataValidation>
        <x14:dataValidation type="list" allowBlank="1" showInputMessage="1" showErrorMessage="1">
          <x14:formula1>
            <xm:f>'2.1 Customer Benefit Output'!$D$8:$D$18</xm:f>
          </x14:formula1>
          <xm:sqref>C6</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V43"/>
  <sheetViews>
    <sheetView showGridLines="0" tabSelected="1" workbookViewId="0">
      <pane xSplit="9" ySplit="6" topLeftCell="J7" activePane="bottomRight" state="frozen"/>
      <selection pane="topRight" activeCell="J1" sqref="J1"/>
      <selection pane="bottomLeft" activeCell="A7" sqref="A7"/>
      <selection pane="bottomRight"/>
    </sheetView>
  </sheetViews>
  <sheetFormatPr defaultColWidth="10.875" defaultRowHeight="15.75" x14ac:dyDescent="0.25"/>
  <cols>
    <col min="1" max="1" width="2.625" style="35" customWidth="1"/>
    <col min="2" max="2" width="23.625" style="74" bestFit="1" customWidth="1"/>
    <col min="3" max="6" width="14.125" style="35" customWidth="1"/>
    <col min="7" max="7" width="1.5" style="35" customWidth="1"/>
    <col min="8" max="8" width="3.875" style="91" customWidth="1"/>
    <col min="9" max="9" width="42.5" style="92" customWidth="1"/>
    <col min="10" max="12" width="13.875" style="74" customWidth="1"/>
    <col min="13" max="13" width="1.5" style="35" customWidth="1"/>
    <col min="14" max="16" width="11.125" style="93" customWidth="1"/>
    <col min="17" max="17" width="1.5" style="35" customWidth="1"/>
    <col min="18" max="20" width="11.125" style="93" customWidth="1"/>
    <col min="21" max="21" width="1.5" style="35" customWidth="1"/>
    <col min="22" max="24" width="11.125" style="93" customWidth="1"/>
    <col min="25" max="25" width="1.5" style="35" customWidth="1"/>
    <col min="26" max="26" width="38.625" style="35" hidden="1" customWidth="1"/>
    <col min="27" max="29" width="11.125" style="93" hidden="1" customWidth="1"/>
    <col min="30" max="30" width="1.5" style="35" hidden="1" customWidth="1"/>
    <col min="31" max="33" width="11.125" style="93" hidden="1" customWidth="1"/>
    <col min="34" max="34" width="1.5" style="35" hidden="1" customWidth="1"/>
    <col min="35" max="37" width="11.125" style="93" hidden="1" customWidth="1"/>
    <col min="38" max="38" width="1.5" style="35" hidden="1" customWidth="1"/>
    <col min="39" max="41" width="11.125" style="93" hidden="1" customWidth="1"/>
    <col min="42" max="42" width="1.5" style="35" hidden="1" customWidth="1"/>
    <col min="43" max="45" width="11.125" style="93" hidden="1" customWidth="1"/>
    <col min="46" max="46" width="2.5" style="35" hidden="1" customWidth="1"/>
    <col min="47" max="47" width="10.875" style="35" hidden="1" customWidth="1"/>
    <col min="48" max="16384" width="10.875" style="35"/>
  </cols>
  <sheetData>
    <row r="1" spans="2:48" x14ac:dyDescent="0.25">
      <c r="V1" s="35"/>
      <c r="AA1" s="94" t="str">
        <f>$AA$4&amp;AA6</f>
        <v>Financial InstitutionConservative</v>
      </c>
      <c r="AB1" s="94" t="str">
        <f t="shared" ref="AB1:AC1" si="0">$AA$4&amp;AB6</f>
        <v>Financial InstitutionPragmatic</v>
      </c>
      <c r="AC1" s="94" t="str">
        <f t="shared" si="0"/>
        <v>Financial InstitutionAggressive</v>
      </c>
      <c r="AD1" s="95"/>
      <c r="AE1" s="94" t="str">
        <f>$AE$4&amp;AE6</f>
        <v>HealthcareConservative</v>
      </c>
      <c r="AF1" s="94" t="str">
        <f t="shared" ref="AF1:AG1" si="1">$AE$4&amp;AF6</f>
        <v>HealthcarePragmatic</v>
      </c>
      <c r="AG1" s="94" t="str">
        <f t="shared" si="1"/>
        <v>HealthcareAggressive</v>
      </c>
      <c r="AH1" s="95"/>
      <c r="AI1" s="94" t="str">
        <f>$AI$4&amp;AI6</f>
        <v>ManufacturingConservative</v>
      </c>
      <c r="AJ1" s="94" t="str">
        <f t="shared" ref="AJ1:AK1" si="2">$AI$4&amp;AJ6</f>
        <v>ManufacturingPragmatic</v>
      </c>
      <c r="AK1" s="94" t="str">
        <f t="shared" si="2"/>
        <v>ManufacturingAggressive</v>
      </c>
      <c r="AL1" s="95"/>
      <c r="AM1" s="94" t="str">
        <f>$AM$4&amp;AM6</f>
        <v>RetailConservative</v>
      </c>
      <c r="AN1" s="94" t="str">
        <f t="shared" ref="AN1:AO1" si="3">$AM$4&amp;AN6</f>
        <v>RetailPragmatic</v>
      </c>
      <c r="AO1" s="94" t="str">
        <f t="shared" si="3"/>
        <v>RetailAggressive</v>
      </c>
      <c r="AP1" s="95"/>
      <c r="AQ1" s="94" t="str">
        <f>$AQ$4&amp;AQ6</f>
        <v>TechnologyConservative</v>
      </c>
      <c r="AR1" s="94" t="str">
        <f t="shared" ref="AR1:AS1" si="4">$AQ$4&amp;AR6</f>
        <v>TechnologyPragmatic</v>
      </c>
      <c r="AS1" s="94" t="str">
        <f t="shared" si="4"/>
        <v>TechnologyAggressive</v>
      </c>
    </row>
    <row r="2" spans="2:48" ht="29.25" thickBot="1" x14ac:dyDescent="0.5">
      <c r="B2" s="96" t="s">
        <v>163</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row>
    <row r="3" spans="2:48" x14ac:dyDescent="0.25">
      <c r="V3" s="332" t="s">
        <v>186</v>
      </c>
      <c r="W3" s="332"/>
      <c r="X3" s="332"/>
    </row>
    <row r="4" spans="2:48" ht="18.75" x14ac:dyDescent="0.25">
      <c r="B4" s="97" t="s">
        <v>164</v>
      </c>
      <c r="C4" s="98"/>
      <c r="D4" s="98"/>
      <c r="E4" s="98"/>
      <c r="F4" s="98"/>
      <c r="I4" s="97" t="s">
        <v>190</v>
      </c>
      <c r="J4" s="99" t="s">
        <v>170</v>
      </c>
      <c r="K4" s="98"/>
      <c r="L4" s="98"/>
      <c r="N4" s="100" t="s">
        <v>176</v>
      </c>
      <c r="O4" s="100"/>
      <c r="P4" s="100"/>
      <c r="R4" s="100" t="s">
        <v>185</v>
      </c>
      <c r="S4" s="100"/>
      <c r="T4" s="100"/>
      <c r="V4" s="329" t="s">
        <v>181</v>
      </c>
      <c r="W4" s="330"/>
      <c r="X4" s="331"/>
      <c r="Y4" s="101"/>
      <c r="Z4" s="101"/>
      <c r="AA4" s="325" t="s">
        <v>183</v>
      </c>
      <c r="AB4" s="326"/>
      <c r="AC4" s="327"/>
      <c r="AD4" s="101"/>
      <c r="AE4" s="325" t="s">
        <v>184</v>
      </c>
      <c r="AF4" s="326"/>
      <c r="AG4" s="327"/>
      <c r="AH4" s="101"/>
      <c r="AI4" s="325" t="s">
        <v>180</v>
      </c>
      <c r="AJ4" s="326"/>
      <c r="AK4" s="327"/>
      <c r="AL4" s="101"/>
      <c r="AM4" s="325" t="s">
        <v>182</v>
      </c>
      <c r="AN4" s="326"/>
      <c r="AO4" s="327"/>
      <c r="AP4" s="101"/>
      <c r="AQ4" s="325" t="s">
        <v>181</v>
      </c>
      <c r="AR4" s="326"/>
      <c r="AS4" s="327"/>
      <c r="AT4" s="101"/>
      <c r="AU4" s="101"/>
      <c r="AV4" s="101"/>
    </row>
    <row r="5" spans="2:48" x14ac:dyDescent="0.25">
      <c r="I5" s="71"/>
      <c r="V5" s="328" t="s">
        <v>179</v>
      </c>
      <c r="W5" s="328"/>
      <c r="X5" s="328"/>
      <c r="AA5" s="328" t="s">
        <v>179</v>
      </c>
      <c r="AB5" s="328"/>
      <c r="AC5" s="328"/>
      <c r="AE5" s="328" t="s">
        <v>179</v>
      </c>
      <c r="AF5" s="328"/>
      <c r="AG5" s="328"/>
      <c r="AI5" s="328" t="s">
        <v>179</v>
      </c>
      <c r="AJ5" s="328"/>
      <c r="AK5" s="328"/>
      <c r="AM5" s="328" t="s">
        <v>179</v>
      </c>
      <c r="AN5" s="328"/>
      <c r="AO5" s="328"/>
      <c r="AQ5" s="328" t="s">
        <v>179</v>
      </c>
      <c r="AR5" s="328"/>
      <c r="AS5" s="328"/>
    </row>
    <row r="6" spans="2:48" x14ac:dyDescent="0.25">
      <c r="B6" s="308" t="s">
        <v>5</v>
      </c>
      <c r="C6" s="102" t="s">
        <v>7</v>
      </c>
      <c r="D6" s="103" t="s">
        <v>8</v>
      </c>
      <c r="E6" s="103" t="s">
        <v>9</v>
      </c>
      <c r="F6" s="103" t="s">
        <v>10</v>
      </c>
      <c r="I6" s="306" t="s">
        <v>131</v>
      </c>
      <c r="J6" s="104" t="str">
        <f>'0. Control Panel'!C44</f>
        <v>Conservative</v>
      </c>
      <c r="K6" s="105" t="str">
        <f>'0. Control Panel'!C45</f>
        <v>Pragmatic</v>
      </c>
      <c r="L6" s="106" t="str">
        <f>'0. Control Panel'!C46</f>
        <v>Aggressive</v>
      </c>
      <c r="N6" s="107" t="str">
        <f>J6</f>
        <v>Conservative</v>
      </c>
      <c r="O6" s="108" t="str">
        <f t="shared" ref="O6:P6" si="5">K6</f>
        <v>Pragmatic</v>
      </c>
      <c r="P6" s="109" t="str">
        <f t="shared" si="5"/>
        <v>Aggressive</v>
      </c>
      <c r="R6" s="107" t="str">
        <f>N6</f>
        <v>Conservative</v>
      </c>
      <c r="S6" s="108" t="str">
        <f t="shared" ref="S6" si="6">O6</f>
        <v>Pragmatic</v>
      </c>
      <c r="T6" s="109" t="str">
        <f t="shared" ref="T6" si="7">P6</f>
        <v>Aggressive</v>
      </c>
      <c r="V6" s="107" t="str">
        <f>R6</f>
        <v>Conservative</v>
      </c>
      <c r="W6" s="108" t="str">
        <f t="shared" ref="W6" si="8">S6</f>
        <v>Pragmatic</v>
      </c>
      <c r="X6" s="109" t="str">
        <f t="shared" ref="X6" si="9">T6</f>
        <v>Aggressive</v>
      </c>
      <c r="AA6" s="107" t="str">
        <f>V6</f>
        <v>Conservative</v>
      </c>
      <c r="AB6" s="108" t="str">
        <f>W6</f>
        <v>Pragmatic</v>
      </c>
      <c r="AC6" s="109" t="str">
        <f>X6</f>
        <v>Aggressive</v>
      </c>
      <c r="AE6" s="107" t="str">
        <f>AA6</f>
        <v>Conservative</v>
      </c>
      <c r="AF6" s="108" t="str">
        <f t="shared" ref="AF6" si="10">AB6</f>
        <v>Pragmatic</v>
      </c>
      <c r="AG6" s="109" t="str">
        <f t="shared" ref="AG6" si="11">AC6</f>
        <v>Aggressive</v>
      </c>
      <c r="AI6" s="107" t="str">
        <f>AE6</f>
        <v>Conservative</v>
      </c>
      <c r="AJ6" s="108" t="str">
        <f t="shared" ref="AJ6" si="12">AF6</f>
        <v>Pragmatic</v>
      </c>
      <c r="AK6" s="109" t="str">
        <f t="shared" ref="AK6" si="13">AG6</f>
        <v>Aggressive</v>
      </c>
      <c r="AM6" s="107" t="str">
        <f>AI6</f>
        <v>Conservative</v>
      </c>
      <c r="AN6" s="108" t="str">
        <f t="shared" ref="AN6" si="14">AJ6</f>
        <v>Pragmatic</v>
      </c>
      <c r="AO6" s="109" t="str">
        <f t="shared" ref="AO6" si="15">AK6</f>
        <v>Aggressive</v>
      </c>
      <c r="AQ6" s="107" t="str">
        <f>AM6</f>
        <v>Conservative</v>
      </c>
      <c r="AR6" s="108" t="str">
        <f t="shared" ref="AR6" si="16">AN6</f>
        <v>Pragmatic</v>
      </c>
      <c r="AS6" s="109" t="str">
        <f t="shared" ref="AS6" si="17">AO6</f>
        <v>Aggressive</v>
      </c>
    </row>
    <row r="7" spans="2:48" x14ac:dyDescent="0.25">
      <c r="B7" s="110" t="s">
        <v>175</v>
      </c>
      <c r="C7" s="310">
        <v>0</v>
      </c>
      <c r="D7" s="310">
        <v>0.3</v>
      </c>
      <c r="E7" s="310">
        <v>0.7</v>
      </c>
      <c r="F7" s="310">
        <v>1</v>
      </c>
      <c r="H7" s="91" t="s">
        <v>12</v>
      </c>
      <c r="I7" s="111" t="str">
        <f>VLOOKUP($H7,'0. Control Panel'!$B$20:$D$55,2,FALSE)</f>
        <v>Increased Customer Retention</v>
      </c>
      <c r="J7" s="112">
        <f>INDEX('2.1 Customer Benefit Output'!$A$1:$U$135,MATCH($I$6&amp;$H7,'2.1 Customer Benefit Output'!$A$1:$A$135,0),MATCH($I$4&amp;J$6,'2.1 Customer Benefit Output'!$A$1:$U$1,0))</f>
        <v>2793940</v>
      </c>
      <c r="K7" s="112">
        <f>INDEX('2.1 Customer Benefit Output'!$A$1:$U$135,MATCH($I$6&amp;$H7,'2.1 Customer Benefit Output'!$A$1:$A$135,0),MATCH($I$4&amp;K$6,'2.1 Customer Benefit Output'!$A$1:$U$1,0))</f>
        <v>3823762.5</v>
      </c>
      <c r="L7" s="112">
        <f>INDEX('2.1 Customer Benefit Output'!$A$1:$U$135,MATCH($I$6&amp;$H7,'2.1 Customer Benefit Output'!$A$1:$A$135,0),MATCH($I$4&amp;L$6,'2.1 Customer Benefit Output'!$A$1:$U$1,0))</f>
        <v>6131525</v>
      </c>
      <c r="N7" s="113">
        <f>IFERROR(J7/J$17,0)</f>
        <v>0.56741958675369719</v>
      </c>
      <c r="O7" s="113">
        <f t="shared" ref="O7:O16" si="18">IFERROR(K7/K$17,0)</f>
        <v>0.43397698099416865</v>
      </c>
      <c r="P7" s="113">
        <f t="shared" ref="P7:P16" si="19">IFERROR(L7/L$17,0)</f>
        <v>0.43996287435977288</v>
      </c>
      <c r="R7" s="113">
        <f>IFERROR(J7/'0. Control Panel'!$I$17,0)</f>
        <v>3.0719685099973061E-2</v>
      </c>
      <c r="S7" s="113">
        <f>IFERROR(K7/'0. Control Panel'!$I$17,0)</f>
        <v>4.2042699520063329E-2</v>
      </c>
      <c r="T7" s="113">
        <f>IFERROR(L7/'0. Control Panel'!$I$17,0)</f>
        <v>6.7416808228742325E-2</v>
      </c>
      <c r="V7" s="114">
        <f>IF($I7=0,0,IF($I7=$Z7,INDEX($Z$1:$AS$41,MATCH($I7,$Z$1:$Z$41,0),MATCH($V$4&amp;V$6,$Z$1:$AS$1,0)),"n/a"))</f>
        <v>2.5000000000000001E-2</v>
      </c>
      <c r="W7" s="114">
        <f t="shared" ref="W7:X16" si="20">IF($I7=0,0,IF($I7=$Z7,INDEX($Z$1:$AS$41,MATCH($I7,$Z$1:$Z$41,0),MATCH($V$4&amp;W$6,$Z$1:$AS$1,0)),"n/a"))</f>
        <v>0.04</v>
      </c>
      <c r="X7" s="114">
        <f t="shared" si="20"/>
        <v>0.06</v>
      </c>
      <c r="Z7" s="111" t="str">
        <f>VLOOKUP($H7,'0. Control Panel'!$B$20:$D$55,2,FALSE)</f>
        <v>Increased Customer Retention</v>
      </c>
      <c r="AA7" s="113">
        <v>0.03</v>
      </c>
      <c r="AB7" s="113">
        <v>4.4999999999999998E-2</v>
      </c>
      <c r="AC7" s="113">
        <v>7.0000000000000007E-2</v>
      </c>
      <c r="AE7" s="113">
        <v>0.02</v>
      </c>
      <c r="AF7" s="113">
        <v>2.5000000000000001E-2</v>
      </c>
      <c r="AG7" s="113">
        <v>0.04</v>
      </c>
      <c r="AI7" s="113">
        <v>0.02</v>
      </c>
      <c r="AJ7" s="113">
        <v>0.03</v>
      </c>
      <c r="AK7" s="113">
        <v>4.4999999999999998E-2</v>
      </c>
      <c r="AM7" s="113">
        <v>0.03</v>
      </c>
      <c r="AN7" s="113">
        <v>0.05</v>
      </c>
      <c r="AO7" s="113">
        <v>0.08</v>
      </c>
      <c r="AQ7" s="113">
        <v>2.5000000000000001E-2</v>
      </c>
      <c r="AR7" s="113">
        <v>0.04</v>
      </c>
      <c r="AS7" s="113">
        <v>0.06</v>
      </c>
      <c r="AU7" s="95" t="s">
        <v>183</v>
      </c>
    </row>
    <row r="8" spans="2:48" x14ac:dyDescent="0.25">
      <c r="B8" s="110" t="s">
        <v>174</v>
      </c>
      <c r="C8" s="310">
        <v>0</v>
      </c>
      <c r="D8" s="310">
        <v>0.4</v>
      </c>
      <c r="E8" s="310">
        <v>0.75</v>
      </c>
      <c r="F8" s="310">
        <v>1</v>
      </c>
      <c r="H8" s="91" t="s">
        <v>13</v>
      </c>
      <c r="I8" s="115" t="str">
        <f>VLOOKUP($H8,'0. Control Panel'!$B$20:$D$55,2,FALSE)</f>
        <v>Reduced Sales Order Errors</v>
      </c>
      <c r="J8" s="116">
        <f>INDEX('2.1 Customer Benefit Output'!$A$1:$U$135,MATCH($I$6&amp;$H8,'2.1 Customer Benefit Output'!$A$1:$A$135,0),MATCH($I$4&amp;J$6,'2.1 Customer Benefit Output'!$A$1:$U$1,0))</f>
        <v>621500</v>
      </c>
      <c r="K8" s="116">
        <f>INDEX('2.1 Customer Benefit Output'!$A$1:$U$135,MATCH($I$6&amp;$H8,'2.1 Customer Benefit Output'!$A$1:$A$135,0),MATCH($I$4&amp;K$6,'2.1 Customer Benefit Output'!$A$1:$U$1,0))</f>
        <v>1394072.5</v>
      </c>
      <c r="L8" s="116">
        <f>INDEX('2.1 Customer Benefit Output'!$A$1:$U$135,MATCH($I$6&amp;$H8,'2.1 Customer Benefit Output'!$A$1:$A$135,0),MATCH($I$4&amp;L$6,'2.1 Customer Benefit Output'!$A$1:$U$1,0))</f>
        <v>2309945</v>
      </c>
      <c r="N8" s="113">
        <f t="shared" ref="N8:N16" si="21">IFERROR(J8/J$17,0)</f>
        <v>0.12622005954581086</v>
      </c>
      <c r="O8" s="113">
        <f t="shared" si="18"/>
        <v>0.15821991424336454</v>
      </c>
      <c r="P8" s="113">
        <f t="shared" si="19"/>
        <v>0.16574833207285064</v>
      </c>
      <c r="R8" s="113">
        <f>IFERROR(J8/'0. Control Panel'!$I$17,0)</f>
        <v>6.8334625259072346E-3</v>
      </c>
      <c r="S8" s="113">
        <f>IFERROR(K8/'0. Control Panel'!$I$17,0)</f>
        <v>1.5327984211018202E-2</v>
      </c>
      <c r="T8" s="113">
        <f>IFERROR(L8/'0. Control Panel'!$I$17,0)</f>
        <v>2.5398105542086543E-2</v>
      </c>
      <c r="V8" s="114">
        <f t="shared" ref="V8:V16" si="22">IF($I8=0,0,IF($I8=$Z8,INDEX($Z$1:$AS$41,MATCH($I8,$Z$1:$Z$41,0),MATCH($V$4&amp;V$6,$Z$1:$AS$1,0)),"n/a"))</f>
        <v>5.0000000000000001E-3</v>
      </c>
      <c r="W8" s="114">
        <f t="shared" si="20"/>
        <v>0.01</v>
      </c>
      <c r="X8" s="114">
        <f t="shared" si="20"/>
        <v>0.02</v>
      </c>
      <c r="Z8" s="115" t="str">
        <f>VLOOKUP($H8,'0. Control Panel'!$B$20:$D$55,2,FALSE)</f>
        <v>Reduced Sales Order Errors</v>
      </c>
      <c r="AA8" s="113">
        <v>5.0000000000000001E-3</v>
      </c>
      <c r="AB8" s="113">
        <v>1.4999999999999999E-2</v>
      </c>
      <c r="AC8" s="113">
        <v>2.5000000000000001E-2</v>
      </c>
      <c r="AE8" s="113">
        <v>0.01</v>
      </c>
      <c r="AF8" s="113">
        <v>1.4999999999999999E-2</v>
      </c>
      <c r="AG8" s="113">
        <v>0.02</v>
      </c>
      <c r="AI8" s="113">
        <v>0.01</v>
      </c>
      <c r="AJ8" s="113">
        <v>0.02</v>
      </c>
      <c r="AK8" s="113">
        <v>0.03</v>
      </c>
      <c r="AM8" s="113">
        <v>0.01</v>
      </c>
      <c r="AN8" s="113">
        <v>0.02</v>
      </c>
      <c r="AO8" s="113">
        <v>3.5000000000000003E-2</v>
      </c>
      <c r="AQ8" s="113">
        <v>5.0000000000000001E-3</v>
      </c>
      <c r="AR8" s="113">
        <v>0.01</v>
      </c>
      <c r="AS8" s="113">
        <v>0.02</v>
      </c>
      <c r="AU8" s="95" t="s">
        <v>184</v>
      </c>
    </row>
    <row r="9" spans="2:48" x14ac:dyDescent="0.25">
      <c r="B9" s="117" t="str">
        <f>I17</f>
        <v>Total MDM Customer Benefit</v>
      </c>
      <c r="C9" s="112">
        <f>INDEX($I$6:$L$41,MATCH($B9,$I$6:$I$41,0),MATCH($B$6,$I$6:$L$6,0))*C$7</f>
        <v>0</v>
      </c>
      <c r="D9" s="112">
        <f>INDEX($I$6:$L$41,MATCH($B9,$I$6:$I$41,0),MATCH($B$6,$I$6:$L$6,0))*D$7</f>
        <v>2643294</v>
      </c>
      <c r="E9" s="112">
        <f>INDEX($I$6:$L$41,MATCH($B9,$I$6:$I$41,0),MATCH($B$6,$I$6:$L$6,0))*E$7</f>
        <v>6167686</v>
      </c>
      <c r="F9" s="112">
        <f>INDEX($I$6:$L$41,MATCH($B9,$I$6:$I$41,0),MATCH($B$6,$I$6:$L$6,0))*F$7</f>
        <v>8810980</v>
      </c>
      <c r="H9" s="91" t="s">
        <v>14</v>
      </c>
      <c r="I9" s="115" t="str">
        <f>VLOOKUP($H9,'0. Control Panel'!$B$20:$D$55,2,FALSE)</f>
        <v>Reduced Sales Cycle Time</v>
      </c>
      <c r="J9" s="116">
        <f>INDEX('2.1 Customer Benefit Output'!$A$1:$U$135,MATCH($I$6&amp;$H9,'2.1 Customer Benefit Output'!$A$1:$A$135,0),MATCH($I$4&amp;J$6,'2.1 Customer Benefit Output'!$A$1:$U$1,0))</f>
        <v>429000</v>
      </c>
      <c r="K9" s="116">
        <f>INDEX('2.1 Customer Benefit Output'!$A$1:$U$135,MATCH($I$6&amp;$H9,'2.1 Customer Benefit Output'!$A$1:$A$135,0),MATCH($I$4&amp;K$6,'2.1 Customer Benefit Output'!$A$1:$U$1,0))</f>
        <v>1009000.0000000001</v>
      </c>
      <c r="L9" s="116">
        <f>INDEX('2.1 Customer Benefit Output'!$A$1:$U$135,MATCH($I$6&amp;$H9,'2.1 Customer Benefit Output'!$A$1:$A$135,0),MATCH($I$4&amp;L$6,'2.1 Customer Benefit Output'!$A$1:$U$1,0))</f>
        <v>1264500</v>
      </c>
      <c r="N9" s="113">
        <f t="shared" si="21"/>
        <v>8.7125350836931403E-2</v>
      </c>
      <c r="O9" s="113">
        <f t="shared" si="18"/>
        <v>0.11451620591580053</v>
      </c>
      <c r="P9" s="113">
        <f t="shared" si="19"/>
        <v>9.0733227806774466E-2</v>
      </c>
      <c r="R9" s="113">
        <f>IFERROR(J9/'0. Control Panel'!$I$17,0)</f>
        <v>4.7169033364669408E-3</v>
      </c>
      <c r="S9" s="113">
        <f>IFERROR(K9/'0. Control Panel'!$I$17,0)</f>
        <v>1.1094068686468866E-2</v>
      </c>
      <c r="T9" s="113">
        <f>IFERROR(L9/'0. Control Panel'!$I$17,0)</f>
        <v>1.3903319974271437E-2</v>
      </c>
      <c r="V9" s="114">
        <f t="shared" si="22"/>
        <v>3.0000000000000001E-3</v>
      </c>
      <c r="W9" s="114">
        <f t="shared" si="20"/>
        <v>8.0000000000000002E-3</v>
      </c>
      <c r="X9" s="114">
        <f t="shared" si="20"/>
        <v>1.4999999999999999E-2</v>
      </c>
      <c r="Z9" s="115" t="str">
        <f>VLOOKUP($H9,'0. Control Panel'!$B$20:$D$55,2,FALSE)</f>
        <v>Reduced Sales Cycle Time</v>
      </c>
      <c r="AA9" s="113">
        <v>1E-3</v>
      </c>
      <c r="AB9" s="113">
        <v>2E-3</v>
      </c>
      <c r="AC9" s="113">
        <v>5.0000000000000001E-3</v>
      </c>
      <c r="AE9" s="113">
        <v>3.0000000000000001E-3</v>
      </c>
      <c r="AF9" s="113">
        <v>8.0000000000000002E-3</v>
      </c>
      <c r="AG9" s="113">
        <v>1.4999999999999999E-2</v>
      </c>
      <c r="AI9" s="113">
        <v>3.0000000000000001E-3</v>
      </c>
      <c r="AJ9" s="113">
        <v>8.0000000000000002E-3</v>
      </c>
      <c r="AK9" s="113">
        <v>1.4999999999999999E-2</v>
      </c>
      <c r="AM9" s="113">
        <v>5.0000000000000001E-3</v>
      </c>
      <c r="AN9" s="113">
        <v>0.01</v>
      </c>
      <c r="AO9" s="113">
        <v>2.5000000000000001E-2</v>
      </c>
      <c r="AQ9" s="113">
        <v>3.0000000000000001E-3</v>
      </c>
      <c r="AR9" s="113">
        <v>8.0000000000000002E-3</v>
      </c>
      <c r="AS9" s="113">
        <v>1.4999999999999999E-2</v>
      </c>
      <c r="AU9" s="95" t="s">
        <v>180</v>
      </c>
    </row>
    <row r="10" spans="2:48" x14ac:dyDescent="0.25">
      <c r="B10" s="118" t="str">
        <f>I29</f>
        <v>Total MDM Product Benefit</v>
      </c>
      <c r="C10" s="116">
        <f>INDEX($I$6:$L$41,MATCH($B10,$I$6:$I$41,0),MATCH($B$6,$I$6:$L$6,0))*C$8</f>
        <v>0</v>
      </c>
      <c r="D10" s="116">
        <f>INDEX($I$6:$L$41,MATCH($B10,$I$6:$I$41,0),MATCH($B$6,$I$6:$L$6,0))*D$8</f>
        <v>1805936</v>
      </c>
      <c r="E10" s="116">
        <f>INDEX($I$6:$L$41,MATCH($B10,$I$6:$I$41,0),MATCH($B$6,$I$6:$L$6,0))*E$8</f>
        <v>3386130</v>
      </c>
      <c r="F10" s="116">
        <f>INDEX($I$6:$L$41,MATCH($B10,$I$6:$I$41,0),MATCH($B$6,$I$6:$L$6,0))*F$8</f>
        <v>4514840</v>
      </c>
      <c r="H10" s="91" t="s">
        <v>15</v>
      </c>
      <c r="I10" s="115" t="str">
        <f>VLOOKUP($H10,'0. Control Panel'!$B$20:$D$55,2,FALSE)</f>
        <v>Increased Cross-Sell / Up-Sell</v>
      </c>
      <c r="J10" s="116">
        <f>INDEX('2.1 Customer Benefit Output'!$A$1:$U$135,MATCH($I$6&amp;$H10,'2.1 Customer Benefit Output'!$A$1:$A$135,0),MATCH($I$4&amp;J$6,'2.1 Customer Benefit Output'!$A$1:$U$1,0))</f>
        <v>450000</v>
      </c>
      <c r="K10" s="116">
        <f>INDEX('2.1 Customer Benefit Output'!$A$1:$U$135,MATCH($I$6&amp;$H10,'2.1 Customer Benefit Output'!$A$1:$A$135,0),MATCH($I$4&amp;K$6,'2.1 Customer Benefit Output'!$A$1:$U$1,0))</f>
        <v>886100</v>
      </c>
      <c r="L10" s="116">
        <f>INDEX('2.1 Customer Benefit Output'!$A$1:$U$135,MATCH($I$6&amp;$H10,'2.1 Customer Benefit Output'!$A$1:$A$135,0),MATCH($I$4&amp;L$6,'2.1 Customer Benefit Output'!$A$1:$U$1,0))</f>
        <v>1534300</v>
      </c>
      <c r="N10" s="113">
        <f t="shared" si="21"/>
        <v>9.1390228150627348E-2</v>
      </c>
      <c r="O10" s="113">
        <f t="shared" si="18"/>
        <v>0.10056770075519408</v>
      </c>
      <c r="P10" s="113">
        <f t="shared" si="19"/>
        <v>0.11009251990821199</v>
      </c>
      <c r="R10" s="113">
        <f>IFERROR(J10/'0. Control Panel'!$I$17,0)</f>
        <v>4.9478007025876994E-3</v>
      </c>
      <c r="S10" s="113">
        <f>IFERROR(K10/'0. Control Panel'!$I$17,0)</f>
        <v>9.7427693390288016E-3</v>
      </c>
      <c r="T10" s="113">
        <f>IFERROR(L10/'0. Control Panel'!$I$17,0)</f>
        <v>1.6869801373289573E-2</v>
      </c>
      <c r="V10" s="114">
        <f t="shared" si="22"/>
        <v>3.0000000000000001E-3</v>
      </c>
      <c r="W10" s="114">
        <f t="shared" si="20"/>
        <v>5.0000000000000001E-3</v>
      </c>
      <c r="X10" s="114">
        <f t="shared" si="20"/>
        <v>0.01</v>
      </c>
      <c r="Z10" s="115" t="str">
        <f>VLOOKUP($H10,'0. Control Panel'!$B$20:$D$55,2,FALSE)</f>
        <v>Increased Cross-Sell / Up-Sell</v>
      </c>
      <c r="AA10" s="113">
        <v>5.0000000000000001E-3</v>
      </c>
      <c r="AB10" s="113">
        <v>0.01</v>
      </c>
      <c r="AC10" s="113">
        <v>1.4999999999999999E-2</v>
      </c>
      <c r="AE10" s="113">
        <v>1E-3</v>
      </c>
      <c r="AF10" s="113">
        <v>1E-3</v>
      </c>
      <c r="AG10" s="113">
        <v>1E-3</v>
      </c>
      <c r="AI10" s="113">
        <v>1E-3</v>
      </c>
      <c r="AJ10" s="113">
        <v>2E-3</v>
      </c>
      <c r="AK10" s="113">
        <v>3.0000000000000001E-3</v>
      </c>
      <c r="AM10" s="113">
        <v>2E-3</v>
      </c>
      <c r="AN10" s="113">
        <v>3.0000000000000001E-3</v>
      </c>
      <c r="AO10" s="113">
        <v>5.0000000000000001E-3</v>
      </c>
      <c r="AQ10" s="113">
        <v>3.0000000000000001E-3</v>
      </c>
      <c r="AR10" s="113">
        <v>5.0000000000000001E-3</v>
      </c>
      <c r="AS10" s="113">
        <v>0.01</v>
      </c>
      <c r="AU10" s="95" t="s">
        <v>182</v>
      </c>
    </row>
    <row r="11" spans="2:48" x14ac:dyDescent="0.25">
      <c r="B11" s="119" t="str">
        <f>I41</f>
        <v>Total Implementaion Costs</v>
      </c>
      <c r="C11" s="120">
        <f>$K$41</f>
        <v>-20100000</v>
      </c>
      <c r="D11" s="120">
        <f>$J$41</f>
        <v>-1172475</v>
      </c>
      <c r="E11" s="120">
        <f>$J$41</f>
        <v>-1172475</v>
      </c>
      <c r="F11" s="120">
        <f>$J$41</f>
        <v>-1172475</v>
      </c>
      <c r="H11" s="91" t="s">
        <v>16</v>
      </c>
      <c r="I11" s="115" t="str">
        <f>VLOOKUP($H11,'0. Control Panel'!$B$20:$D$55,2,FALSE)</f>
        <v>Improved Marketing Response Rate</v>
      </c>
      <c r="J11" s="116">
        <f>INDEX('2.1 Customer Benefit Output'!$A$1:$U$135,MATCH($I$6&amp;$H11,'2.1 Customer Benefit Output'!$A$1:$A$135,0),MATCH($I$4&amp;J$6,'2.1 Customer Benefit Output'!$A$1:$U$1,0))</f>
        <v>230000</v>
      </c>
      <c r="K11" s="116">
        <f>INDEX('2.1 Customer Benefit Output'!$A$1:$U$135,MATCH($I$6&amp;$H11,'2.1 Customer Benefit Output'!$A$1:$A$135,0),MATCH($I$4&amp;K$6,'2.1 Customer Benefit Output'!$A$1:$U$1,0))</f>
        <v>676800</v>
      </c>
      <c r="L11" s="116">
        <f>INDEX('2.1 Customer Benefit Output'!$A$1:$U$135,MATCH($I$6&amp;$H11,'2.1 Customer Benefit Output'!$A$1:$A$135,0),MATCH($I$4&amp;L$6,'2.1 Customer Benefit Output'!$A$1:$U$1,0))</f>
        <v>1083600</v>
      </c>
      <c r="N11" s="113">
        <f t="shared" si="21"/>
        <v>4.6710561054765086E-2</v>
      </c>
      <c r="O11" s="113">
        <f t="shared" si="18"/>
        <v>7.6813248923502261E-2</v>
      </c>
      <c r="P11" s="113">
        <f t="shared" si="19"/>
        <v>7.7752887031570433E-2</v>
      </c>
      <c r="R11" s="113">
        <f>IFERROR(J11/'0. Control Panel'!$I$17,0)</f>
        <v>2.5288759146559355E-3</v>
      </c>
      <c r="S11" s="113">
        <f>IFERROR(K11/'0. Control Panel'!$I$17,0)</f>
        <v>7.4414922566919004E-3</v>
      </c>
      <c r="T11" s="113">
        <f>IFERROR(L11/'0. Control Panel'!$I$17,0)</f>
        <v>1.191430409183118E-2</v>
      </c>
      <c r="V11" s="114">
        <f t="shared" si="22"/>
        <v>5.0000000000000001E-3</v>
      </c>
      <c r="W11" s="114">
        <f t="shared" si="20"/>
        <v>0.01</v>
      </c>
      <c r="X11" s="114">
        <f t="shared" si="20"/>
        <v>0.02</v>
      </c>
      <c r="Z11" s="115" t="str">
        <f>VLOOKUP($H11,'0. Control Panel'!$B$20:$D$55,2,FALSE)</f>
        <v>Improved Marketing Response Rate</v>
      </c>
      <c r="AA11" s="113">
        <v>3.0000000000000001E-3</v>
      </c>
      <c r="AB11" s="113">
        <v>6.0000000000000001E-3</v>
      </c>
      <c r="AC11" s="113">
        <v>0.01</v>
      </c>
      <c r="AE11" s="113">
        <v>1E-3</v>
      </c>
      <c r="AF11" s="113">
        <v>2E-3</v>
      </c>
      <c r="AG11" s="113">
        <v>3.0000000000000001E-3</v>
      </c>
      <c r="AI11" s="113">
        <v>1E-3</v>
      </c>
      <c r="AJ11" s="113">
        <v>2E-3</v>
      </c>
      <c r="AK11" s="113">
        <v>3.0000000000000001E-3</v>
      </c>
      <c r="AM11" s="113">
        <v>5.0000000000000001E-3</v>
      </c>
      <c r="AN11" s="113">
        <v>0.01</v>
      </c>
      <c r="AO11" s="113">
        <v>0.02</v>
      </c>
      <c r="AQ11" s="113">
        <v>5.0000000000000001E-3</v>
      </c>
      <c r="AR11" s="113">
        <v>0.01</v>
      </c>
      <c r="AS11" s="113">
        <v>0.02</v>
      </c>
      <c r="AU11" s="95" t="s">
        <v>181</v>
      </c>
    </row>
    <row r="12" spans="2:48" x14ac:dyDescent="0.25">
      <c r="B12" s="52"/>
      <c r="C12" s="121"/>
      <c r="D12" s="121"/>
      <c r="E12" s="121"/>
      <c r="F12" s="121"/>
      <c r="H12" s="91" t="s">
        <v>17</v>
      </c>
      <c r="I12" s="115" t="str">
        <f>VLOOKUP($H12,'0. Control Panel'!$B$20:$D$55,2,FALSE)</f>
        <v>Call Center Efficiency</v>
      </c>
      <c r="J12" s="116">
        <f>INDEX('2.1 Customer Benefit Output'!$A$1:$U$135,MATCH($I$6&amp;$H12,'2.1 Customer Benefit Output'!$A$1:$A$135,0),MATCH($I$4&amp;J$6,'2.1 Customer Benefit Output'!$A$1:$U$1,0))</f>
        <v>55000.000000000007</v>
      </c>
      <c r="K12" s="116">
        <f>INDEX('2.1 Customer Benefit Output'!$A$1:$U$135,MATCH($I$6&amp;$H12,'2.1 Customer Benefit Output'!$A$1:$A$135,0),MATCH($I$4&amp;K$6,'2.1 Customer Benefit Output'!$A$1:$U$1,0))</f>
        <v>66275</v>
      </c>
      <c r="L12" s="116">
        <f>INDEX('2.1 Customer Benefit Output'!$A$1:$U$135,MATCH($I$6&amp;$H12,'2.1 Customer Benefit Output'!$A$1:$A$135,0),MATCH($I$4&amp;L$6,'2.1 Customer Benefit Output'!$A$1:$U$1,0))</f>
        <v>77550</v>
      </c>
      <c r="N12" s="113">
        <f t="shared" si="21"/>
        <v>1.1169916773965565E-2</v>
      </c>
      <c r="O12" s="113">
        <f t="shared" si="18"/>
        <v>7.5218647641919515E-3</v>
      </c>
      <c r="P12" s="113">
        <f t="shared" si="19"/>
        <v>5.5645407800833206E-3</v>
      </c>
      <c r="R12" s="113">
        <f>IFERROR(J12/'0. Control Panel'!$I$17,0)</f>
        <v>6.047311969829412E-4</v>
      </c>
      <c r="S12" s="113">
        <f>IFERROR(K12/'0. Control Panel'!$I$17,0)</f>
        <v>7.28701092364444E-4</v>
      </c>
      <c r="T12" s="113">
        <f>IFERROR(L12/'0. Control Panel'!$I$17,0)</f>
        <v>8.5267098774594692E-4</v>
      </c>
      <c r="V12" s="114">
        <f t="shared" si="22"/>
        <v>1E-3</v>
      </c>
      <c r="W12" s="114">
        <f t="shared" si="20"/>
        <v>3.0000000000000001E-3</v>
      </c>
      <c r="X12" s="114">
        <f t="shared" si="20"/>
        <v>5.0000000000000001E-3</v>
      </c>
      <c r="Z12" s="115" t="str">
        <f>VLOOKUP($H12,'0. Control Panel'!$B$20:$D$55,2,FALSE)</f>
        <v>Call Center Efficiency</v>
      </c>
      <c r="AA12" s="113">
        <v>1E-3</v>
      </c>
      <c r="AB12" s="113">
        <v>3.0000000000000001E-3</v>
      </c>
      <c r="AC12" s="113">
        <v>5.0000000000000001E-3</v>
      </c>
      <c r="AE12" s="113">
        <v>1E-3</v>
      </c>
      <c r="AF12" s="113">
        <v>2E-3</v>
      </c>
      <c r="AG12" s="113">
        <v>5.0000000000000001E-3</v>
      </c>
      <c r="AI12" s="113">
        <v>0</v>
      </c>
      <c r="AJ12" s="113">
        <v>5.0000000000000002E-5</v>
      </c>
      <c r="AK12" s="113">
        <v>1E-3</v>
      </c>
      <c r="AM12" s="113">
        <v>0</v>
      </c>
      <c r="AN12" s="113">
        <v>5.0000000000000002E-5</v>
      </c>
      <c r="AO12" s="113">
        <v>1E-3</v>
      </c>
      <c r="AQ12" s="113">
        <v>1E-3</v>
      </c>
      <c r="AR12" s="113">
        <v>3.0000000000000001E-3</v>
      </c>
      <c r="AS12" s="113">
        <v>5.0000000000000001E-3</v>
      </c>
    </row>
    <row r="13" spans="2:48" x14ac:dyDescent="0.25">
      <c r="B13" s="122" t="s">
        <v>189</v>
      </c>
      <c r="C13" s="123">
        <f>SUM(C9:C11)</f>
        <v>-20100000</v>
      </c>
      <c r="D13" s="123">
        <f t="shared" ref="D13:F13" si="23">SUM(D9:D11)</f>
        <v>3276755</v>
      </c>
      <c r="E13" s="123">
        <f t="shared" si="23"/>
        <v>8381341</v>
      </c>
      <c r="F13" s="123">
        <f t="shared" si="23"/>
        <v>12153345</v>
      </c>
      <c r="H13" s="91" t="s">
        <v>18</v>
      </c>
      <c r="I13" s="115" t="str">
        <f>VLOOKUP($H13,'0. Control Panel'!$B$20:$D$55,2,FALSE)</f>
        <v>Economies of Scale (M&amp;A)</v>
      </c>
      <c r="J13" s="116">
        <f>INDEX('2.1 Customer Benefit Output'!$A$1:$U$135,MATCH($I$6&amp;$H13,'2.1 Customer Benefit Output'!$A$1:$A$135,0),MATCH($I$4&amp;J$6,'2.1 Customer Benefit Output'!$A$1:$U$1,0))</f>
        <v>344500</v>
      </c>
      <c r="K13" s="116">
        <f>INDEX('2.1 Customer Benefit Output'!$A$1:$U$135,MATCH($I$6&amp;$H13,'2.1 Customer Benefit Output'!$A$1:$A$135,0),MATCH($I$4&amp;K$6,'2.1 Customer Benefit Output'!$A$1:$U$1,0))</f>
        <v>954970</v>
      </c>
      <c r="L13" s="116">
        <f>INDEX('2.1 Customer Benefit Output'!$A$1:$U$135,MATCH($I$6&amp;$H13,'2.1 Customer Benefit Output'!$A$1:$A$135,0),MATCH($I$4&amp;L$6,'2.1 Customer Benefit Output'!$A$1:$U$1,0))</f>
        <v>1535040</v>
      </c>
      <c r="N13" s="113">
        <f t="shared" si="21"/>
        <v>6.9964296884202484E-2</v>
      </c>
      <c r="O13" s="113">
        <f t="shared" si="18"/>
        <v>0.10838408440377802</v>
      </c>
      <c r="P13" s="113">
        <f t="shared" si="19"/>
        <v>0.11014561804073632</v>
      </c>
      <c r="R13" s="113">
        <f>IFERROR(J13/'0. Control Panel'!$I$17,0)</f>
        <v>3.7878163156476945E-3</v>
      </c>
      <c r="S13" s="113">
        <f>IFERROR(K13/'0. Control Panel'!$I$17,0)</f>
        <v>1.0500002748778168E-2</v>
      </c>
      <c r="T13" s="113">
        <f>IFERROR(L13/'0. Control Panel'!$I$17,0)</f>
        <v>1.6877937756667162E-2</v>
      </c>
      <c r="V13" s="114">
        <f t="shared" si="22"/>
        <v>5.0000000000000001E-3</v>
      </c>
      <c r="W13" s="114">
        <f t="shared" si="20"/>
        <v>1.4999999999999999E-2</v>
      </c>
      <c r="X13" s="114">
        <f t="shared" si="20"/>
        <v>0.02</v>
      </c>
      <c r="Z13" s="115" t="str">
        <f>VLOOKUP($H13,'0. Control Panel'!$B$20:$D$55,2,FALSE)</f>
        <v>Economies of Scale (M&amp;A)</v>
      </c>
      <c r="AA13" s="113">
        <v>0.01</v>
      </c>
      <c r="AB13" s="113">
        <v>1.4999999999999999E-2</v>
      </c>
      <c r="AC13" s="113">
        <v>2.5000000000000001E-2</v>
      </c>
      <c r="AE13" s="113">
        <v>0.01</v>
      </c>
      <c r="AF13" s="113">
        <v>0.02</v>
      </c>
      <c r="AG13" s="113">
        <v>0.03</v>
      </c>
      <c r="AI13" s="113">
        <v>5.0000000000000001E-3</v>
      </c>
      <c r="AJ13" s="113">
        <v>1.4999999999999999E-2</v>
      </c>
      <c r="AK13" s="113">
        <v>0.02</v>
      </c>
      <c r="AM13" s="113">
        <v>0.01</v>
      </c>
      <c r="AN13" s="113">
        <v>0.02</v>
      </c>
      <c r="AO13" s="113">
        <v>2.5000000000000001E-2</v>
      </c>
      <c r="AQ13" s="113">
        <v>5.0000000000000001E-3</v>
      </c>
      <c r="AR13" s="113">
        <v>1.4999999999999999E-2</v>
      </c>
      <c r="AS13" s="113">
        <v>0.02</v>
      </c>
    </row>
    <row r="14" spans="2:48" x14ac:dyDescent="0.25">
      <c r="B14" s="124" t="s">
        <v>110</v>
      </c>
      <c r="C14" s="125">
        <f>C13</f>
        <v>-20100000</v>
      </c>
      <c r="D14" s="125">
        <f>C14+D13</f>
        <v>-16823245</v>
      </c>
      <c r="E14" s="125">
        <f t="shared" ref="E14:F14" si="24">D14+E13</f>
        <v>-8441904</v>
      </c>
      <c r="F14" s="125">
        <f t="shared" si="24"/>
        <v>3711441</v>
      </c>
      <c r="H14" s="91" t="s">
        <v>19</v>
      </c>
      <c r="I14" s="115">
        <f>VLOOKUP($H14,'0. Control Panel'!$B$20:$D$55,2,FALSE)</f>
        <v>0</v>
      </c>
      <c r="J14" s="116">
        <f>INDEX('2.1 Customer Benefit Output'!$A$1:$U$135,MATCH($I$6&amp;$H14,'2.1 Customer Benefit Output'!$A$1:$A$135,0),MATCH($I$4&amp;J$6,'2.1 Customer Benefit Output'!$A$1:$U$1,0))</f>
        <v>0</v>
      </c>
      <c r="K14" s="116">
        <f>INDEX('2.1 Customer Benefit Output'!$A$1:$U$135,MATCH($I$6&amp;$H14,'2.1 Customer Benefit Output'!$A$1:$A$135,0),MATCH($I$4&amp;K$6,'2.1 Customer Benefit Output'!$A$1:$U$1,0))</f>
        <v>0</v>
      </c>
      <c r="L14" s="116">
        <f>INDEX('2.1 Customer Benefit Output'!$A$1:$U$135,MATCH($I$6&amp;$H14,'2.1 Customer Benefit Output'!$A$1:$A$135,0),MATCH($I$4&amp;L$6,'2.1 Customer Benefit Output'!$A$1:$U$1,0))</f>
        <v>0</v>
      </c>
      <c r="N14" s="113">
        <f t="shared" si="21"/>
        <v>0</v>
      </c>
      <c r="O14" s="113">
        <f t="shared" si="18"/>
        <v>0</v>
      </c>
      <c r="P14" s="113">
        <f t="shared" si="19"/>
        <v>0</v>
      </c>
      <c r="R14" s="113">
        <f>IFERROR(J14/'0. Control Panel'!$I$17,0)</f>
        <v>0</v>
      </c>
      <c r="S14" s="113">
        <f>IFERROR(K14/'0. Control Panel'!$I$17,0)</f>
        <v>0</v>
      </c>
      <c r="T14" s="113">
        <f>IFERROR(L14/'0. Control Panel'!$I$17,0)</f>
        <v>0</v>
      </c>
      <c r="V14" s="114">
        <f t="shared" si="22"/>
        <v>0</v>
      </c>
      <c r="W14" s="114">
        <f t="shared" si="20"/>
        <v>0</v>
      </c>
      <c r="X14" s="114">
        <f t="shared" si="20"/>
        <v>0</v>
      </c>
      <c r="AA14" s="113">
        <v>0</v>
      </c>
      <c r="AB14" s="113">
        <v>0</v>
      </c>
      <c r="AC14" s="113">
        <v>0</v>
      </c>
      <c r="AE14" s="113">
        <v>0</v>
      </c>
      <c r="AF14" s="113">
        <v>0</v>
      </c>
      <c r="AG14" s="113">
        <v>0</v>
      </c>
      <c r="AI14" s="113">
        <v>0</v>
      </c>
      <c r="AJ14" s="113">
        <v>0</v>
      </c>
      <c r="AK14" s="113">
        <v>0</v>
      </c>
      <c r="AM14" s="113">
        <v>0</v>
      </c>
      <c r="AN14" s="113">
        <v>0</v>
      </c>
      <c r="AO14" s="113">
        <v>0</v>
      </c>
      <c r="AQ14" s="113">
        <v>0</v>
      </c>
      <c r="AR14" s="113">
        <v>0</v>
      </c>
      <c r="AS14" s="113">
        <v>0</v>
      </c>
    </row>
    <row r="15" spans="2:48" x14ac:dyDescent="0.25">
      <c r="B15" s="126" t="s">
        <v>78</v>
      </c>
      <c r="C15" s="127"/>
      <c r="D15" s="127" t="str">
        <f>IF(D14&lt;0,"n/m",ABS(C14)/D13)</f>
        <v>n/m</v>
      </c>
      <c r="E15" s="127" t="str">
        <f t="shared" ref="E15:F15" si="25">IF(E14&lt;0,"n/m",ABS(D14)/E13)</f>
        <v>n/m</v>
      </c>
      <c r="F15" s="127">
        <f t="shared" si="25"/>
        <v>0.69461567988072415</v>
      </c>
      <c r="H15" s="91" t="s">
        <v>20</v>
      </c>
      <c r="I15" s="115">
        <f>VLOOKUP($H15,'0. Control Panel'!$B$20:$D$55,2,FALSE)</f>
        <v>0</v>
      </c>
      <c r="J15" s="116">
        <f>INDEX('2.1 Customer Benefit Output'!$A$1:$U$135,MATCH($I$6&amp;$H15,'2.1 Customer Benefit Output'!$A$1:$A$135,0),MATCH($I$4&amp;J$6,'2.1 Customer Benefit Output'!$A$1:$U$1,0))</f>
        <v>0</v>
      </c>
      <c r="K15" s="116">
        <f>INDEX('2.1 Customer Benefit Output'!$A$1:$U$135,MATCH($I$6&amp;$H15,'2.1 Customer Benefit Output'!$A$1:$A$135,0),MATCH($I$4&amp;K$6,'2.1 Customer Benefit Output'!$A$1:$U$1,0))</f>
        <v>0</v>
      </c>
      <c r="L15" s="116">
        <f>INDEX('2.1 Customer Benefit Output'!$A$1:$U$135,MATCH($I$6&amp;$H15,'2.1 Customer Benefit Output'!$A$1:$A$135,0),MATCH($I$4&amp;L$6,'2.1 Customer Benefit Output'!$A$1:$U$1,0))</f>
        <v>0</v>
      </c>
      <c r="N15" s="113">
        <f t="shared" si="21"/>
        <v>0</v>
      </c>
      <c r="O15" s="113">
        <f t="shared" si="18"/>
        <v>0</v>
      </c>
      <c r="P15" s="113">
        <f t="shared" si="19"/>
        <v>0</v>
      </c>
      <c r="R15" s="113">
        <f>IFERROR(J15/'0. Control Panel'!$I$17,0)</f>
        <v>0</v>
      </c>
      <c r="S15" s="113">
        <f>IFERROR(K15/'0. Control Panel'!$I$17,0)</f>
        <v>0</v>
      </c>
      <c r="T15" s="113">
        <f>IFERROR(L15/'0. Control Panel'!$I$17,0)</f>
        <v>0</v>
      </c>
      <c r="V15" s="114">
        <f t="shared" si="22"/>
        <v>0</v>
      </c>
      <c r="W15" s="114">
        <f t="shared" si="20"/>
        <v>0</v>
      </c>
      <c r="X15" s="114">
        <f t="shared" si="20"/>
        <v>0</v>
      </c>
      <c r="AA15" s="113">
        <v>0</v>
      </c>
      <c r="AB15" s="113">
        <v>0</v>
      </c>
      <c r="AC15" s="113">
        <v>0</v>
      </c>
      <c r="AE15" s="113">
        <v>0</v>
      </c>
      <c r="AF15" s="113">
        <v>0</v>
      </c>
      <c r="AG15" s="113">
        <v>0</v>
      </c>
      <c r="AI15" s="113">
        <v>0</v>
      </c>
      <c r="AJ15" s="113">
        <v>0</v>
      </c>
      <c r="AK15" s="113">
        <v>0</v>
      </c>
      <c r="AM15" s="113">
        <v>0</v>
      </c>
      <c r="AN15" s="113">
        <v>0</v>
      </c>
      <c r="AO15" s="113">
        <v>0</v>
      </c>
      <c r="AQ15" s="113">
        <v>0</v>
      </c>
      <c r="AR15" s="113">
        <v>0</v>
      </c>
      <c r="AS15" s="113">
        <v>0</v>
      </c>
    </row>
    <row r="16" spans="2:48" x14ac:dyDescent="0.25">
      <c r="B16" s="128" t="s">
        <v>11</v>
      </c>
      <c r="C16" s="309">
        <v>0.06</v>
      </c>
      <c r="D16" s="74"/>
      <c r="E16" s="74"/>
      <c r="F16" s="74"/>
      <c r="H16" s="91" t="s">
        <v>21</v>
      </c>
      <c r="I16" s="129">
        <f>VLOOKUP($H16,'0. Control Panel'!$B$20:$D$55,2,FALSE)</f>
        <v>0</v>
      </c>
      <c r="J16" s="120">
        <f>INDEX('2.1 Customer Benefit Output'!$A$1:$U$135,MATCH($I$6&amp;$H16,'2.1 Customer Benefit Output'!$A$1:$A$135,0),MATCH($I$4&amp;J$6,'2.1 Customer Benefit Output'!$A$1:$U$1,0))</f>
        <v>0</v>
      </c>
      <c r="K16" s="120">
        <f>INDEX('2.1 Customer Benefit Output'!$A$1:$U$135,MATCH($I$6&amp;$H16,'2.1 Customer Benefit Output'!$A$1:$A$135,0),MATCH($I$4&amp;K$6,'2.1 Customer Benefit Output'!$A$1:$U$1,0))</f>
        <v>0</v>
      </c>
      <c r="L16" s="120">
        <f>INDEX('2.1 Customer Benefit Output'!$A$1:$U$135,MATCH($I$6&amp;$H16,'2.1 Customer Benefit Output'!$A$1:$A$135,0),MATCH($I$4&amp;L$6,'2.1 Customer Benefit Output'!$A$1:$U$1,0))</f>
        <v>0</v>
      </c>
      <c r="N16" s="113">
        <f t="shared" si="21"/>
        <v>0</v>
      </c>
      <c r="O16" s="113">
        <f t="shared" si="18"/>
        <v>0</v>
      </c>
      <c r="P16" s="113">
        <f t="shared" si="19"/>
        <v>0</v>
      </c>
      <c r="R16" s="113">
        <f>IFERROR(J16/'0. Control Panel'!$I$17,0)</f>
        <v>0</v>
      </c>
      <c r="S16" s="113">
        <f>IFERROR(K16/'0. Control Panel'!$I$17,0)</f>
        <v>0</v>
      </c>
      <c r="T16" s="113">
        <f>IFERROR(L16/'0. Control Panel'!$I$17,0)</f>
        <v>0</v>
      </c>
      <c r="V16" s="114">
        <f t="shared" si="22"/>
        <v>0</v>
      </c>
      <c r="W16" s="114">
        <f t="shared" si="20"/>
        <v>0</v>
      </c>
      <c r="X16" s="114">
        <f t="shared" si="20"/>
        <v>0</v>
      </c>
      <c r="AA16" s="113">
        <v>0</v>
      </c>
      <c r="AB16" s="113">
        <v>0</v>
      </c>
      <c r="AC16" s="113">
        <v>0</v>
      </c>
      <c r="AE16" s="113">
        <v>0</v>
      </c>
      <c r="AF16" s="113">
        <v>0</v>
      </c>
      <c r="AG16" s="113">
        <v>0</v>
      </c>
      <c r="AI16" s="113">
        <v>0</v>
      </c>
      <c r="AJ16" s="113">
        <v>0</v>
      </c>
      <c r="AK16" s="113">
        <v>0</v>
      </c>
      <c r="AM16" s="113">
        <v>0</v>
      </c>
      <c r="AN16" s="113">
        <v>0</v>
      </c>
      <c r="AO16" s="113">
        <v>0</v>
      </c>
      <c r="AQ16" s="113">
        <v>0</v>
      </c>
      <c r="AR16" s="113">
        <v>0</v>
      </c>
      <c r="AS16" s="113">
        <v>0</v>
      </c>
    </row>
    <row r="17" spans="2:45" ht="16.5" thickBot="1" x14ac:dyDescent="0.3">
      <c r="B17" s="130"/>
      <c r="C17" s="74"/>
      <c r="D17" s="74"/>
      <c r="E17" s="74"/>
      <c r="F17" s="74"/>
      <c r="I17" s="78" t="s">
        <v>192</v>
      </c>
      <c r="J17" s="131">
        <f>SUM(J7:J16)</f>
        <v>4923940</v>
      </c>
      <c r="K17" s="131">
        <f>SUM(K7:K16)</f>
        <v>8810980</v>
      </c>
      <c r="L17" s="131">
        <f>SUM(L7:L16)</f>
        <v>13936460</v>
      </c>
      <c r="N17" s="132">
        <f t="shared" ref="N17" si="26">IFERROR(J17/J$17,0)</f>
        <v>1</v>
      </c>
      <c r="O17" s="132">
        <f t="shared" ref="O17" si="27">IFERROR(K17/K$17,0)</f>
        <v>1</v>
      </c>
      <c r="P17" s="132">
        <f t="shared" ref="P17" si="28">IFERROR(L17/L$17,0)</f>
        <v>1</v>
      </c>
      <c r="R17" s="132">
        <f>IFERROR(J17/'0. Control Panel'!$I$17,0)</f>
        <v>5.4139275092221509E-2</v>
      </c>
      <c r="S17" s="132">
        <f>IFERROR(K17/'0. Control Panel'!$I$17,0)</f>
        <v>9.6877717854413709E-2</v>
      </c>
      <c r="T17" s="132">
        <f>IFERROR(L17/'0. Control Panel'!$I$17,0)</f>
        <v>0.15323294795463416</v>
      </c>
      <c r="V17" s="132">
        <f>SUM(V7:V16)</f>
        <v>4.7E-2</v>
      </c>
      <c r="W17" s="132">
        <f t="shared" ref="W17" si="29">SUM(W7:W16)</f>
        <v>9.0999999999999998E-2</v>
      </c>
      <c r="X17" s="132">
        <f t="shared" ref="X17" si="30">SUM(X7:X16)</f>
        <v>0.15</v>
      </c>
      <c r="AA17" s="132">
        <f>SUM(AA7:AA16)</f>
        <v>5.5E-2</v>
      </c>
      <c r="AB17" s="132">
        <f t="shared" ref="AB17:AC17" si="31">SUM(AB7:AB16)</f>
        <v>9.6000000000000002E-2</v>
      </c>
      <c r="AC17" s="132">
        <f t="shared" si="31"/>
        <v>0.155</v>
      </c>
      <c r="AE17" s="132">
        <f>SUM(AE7:AE16)</f>
        <v>4.6000000000000006E-2</v>
      </c>
      <c r="AF17" s="132">
        <f t="shared" ref="AF17" si="32">SUM(AF7:AF16)</f>
        <v>7.3000000000000009E-2</v>
      </c>
      <c r="AG17" s="132">
        <f t="shared" ref="AG17" si="33">SUM(AG7:AG16)</f>
        <v>0.114</v>
      </c>
      <c r="AI17" s="132">
        <f>SUM(AI7:AI16)</f>
        <v>0.04</v>
      </c>
      <c r="AJ17" s="132">
        <f t="shared" ref="AJ17" si="34">SUM(AJ7:AJ16)</f>
        <v>7.7050000000000007E-2</v>
      </c>
      <c r="AK17" s="132">
        <f t="shared" ref="AK17" si="35">SUM(AK7:AK16)</f>
        <v>0.11700000000000001</v>
      </c>
      <c r="AM17" s="132">
        <f>SUM(AM7:AM16)</f>
        <v>6.2E-2</v>
      </c>
      <c r="AN17" s="132">
        <f t="shared" ref="AN17" si="36">SUM(AN7:AN16)</f>
        <v>0.11305</v>
      </c>
      <c r="AO17" s="132">
        <f t="shared" ref="AO17" si="37">SUM(AO7:AO16)</f>
        <v>0.191</v>
      </c>
      <c r="AQ17" s="132">
        <f>SUM(AQ7:AQ16)</f>
        <v>4.7E-2</v>
      </c>
      <c r="AR17" s="132">
        <f t="shared" ref="AR17" si="38">SUM(AR7:AR16)</f>
        <v>9.0999999999999998E-2</v>
      </c>
      <c r="AS17" s="132">
        <f t="shared" ref="AS17" si="39">SUM(AS7:AS16)</f>
        <v>0.15</v>
      </c>
    </row>
    <row r="18" spans="2:45" ht="16.5" thickTop="1" x14ac:dyDescent="0.25">
      <c r="B18" s="52" t="str">
        <f>B6&amp;" 3 Year IRR"</f>
        <v>Pragmatic 3 Year IRR</v>
      </c>
      <c r="C18" s="133">
        <f>IFERROR(IRR(C13:F13),"Negative IRR")</f>
        <v>7.4627903687666475E-2</v>
      </c>
      <c r="D18" s="74"/>
      <c r="E18" s="134" t="s">
        <v>187</v>
      </c>
      <c r="F18" s="135">
        <f>INDEX('2. Customer Benefit Input'!$D$135:$J$146,MATCH($I$6,'2. Customer Benefit Input'!$D$135:$D$146,0),MATCH($B$6,'2. Customer Benefit Input'!$D$135:$J$135,0))+INDEX('3. Product Benefit Input'!$D$135:$J$146,MATCH($I$6,'3. Product Benefit Input'!$D$135:$D$146,0),MATCH($B$6,'3. Product Benefit Input'!$D$135:$J$135,0))</f>
        <v>-130</v>
      </c>
      <c r="J18" s="121"/>
      <c r="K18" s="121"/>
      <c r="L18" s="121"/>
      <c r="N18" s="136"/>
      <c r="O18" s="136"/>
      <c r="P18" s="136"/>
      <c r="R18" s="136"/>
      <c r="S18" s="136"/>
      <c r="T18" s="136"/>
      <c r="V18" s="136"/>
      <c r="W18" s="136"/>
      <c r="X18" s="136"/>
      <c r="AA18" s="136"/>
      <c r="AB18" s="136"/>
      <c r="AC18" s="136"/>
      <c r="AE18" s="136"/>
      <c r="AF18" s="136"/>
      <c r="AG18" s="136"/>
      <c r="AI18" s="136"/>
      <c r="AJ18" s="136"/>
      <c r="AK18" s="136"/>
      <c r="AM18" s="136"/>
      <c r="AN18" s="136"/>
      <c r="AO18" s="136"/>
      <c r="AQ18" s="136"/>
      <c r="AR18" s="136"/>
      <c r="AS18" s="136"/>
    </row>
    <row r="19" spans="2:45" x14ac:dyDescent="0.25">
      <c r="B19" s="137" t="str">
        <f>B6&amp;" NPV"</f>
        <v>Pragmatic NPV</v>
      </c>
      <c r="C19" s="138">
        <f>NPV($C$16,C13:F13)</f>
        <v>617759.21677017829</v>
      </c>
      <c r="D19" s="74"/>
      <c r="E19" s="134" t="s">
        <v>188</v>
      </c>
      <c r="F19" s="139">
        <f>IFERROR(F18/'0. Control Panel'!E4,0)</f>
        <v>-9.6296296296296297E-2</v>
      </c>
      <c r="H19" s="91" t="s">
        <v>22</v>
      </c>
      <c r="I19" s="111" t="str">
        <f>VLOOKUP($H19,'0. Control Panel'!$B$20:$D$55,2,FALSE)</f>
        <v>Reduced Data Management Costs</v>
      </c>
      <c r="J19" s="112">
        <f>INDEX('3.1 Product Benefit Output'!$A$1:$U$134,MATCH($I$6&amp;$H19,'3.1 Product Benefit Output'!$A$1:$A$134,0),MATCH($I$4&amp;J$6,'3.1 Product Benefit Output'!$A$1:$U$1,0))</f>
        <v>348000</v>
      </c>
      <c r="K19" s="112">
        <f>INDEX('3.1 Product Benefit Output'!$A$1:$U$134,MATCH($I$6&amp;$H19,'3.1 Product Benefit Output'!$A$1:$A$134,0),MATCH($I$4&amp;K$6,'3.1 Product Benefit Output'!$A$1:$U$1,0))</f>
        <v>1537485.0000000005</v>
      </c>
      <c r="L19" s="112">
        <f>INDEX('3.1 Product Benefit Output'!$A$1:$U$134,MATCH($I$6&amp;$H19,'3.1 Product Benefit Output'!$A$1:$A$134,0),MATCH($I$4&amp;L$6,'3.1 Product Benefit Output'!$A$1:$U$1,0))</f>
        <v>2503170</v>
      </c>
      <c r="N19" s="113">
        <f>IFERROR(J19/J$29,0)</f>
        <v>0.2368394187906217</v>
      </c>
      <c r="O19" s="113">
        <f t="shared" ref="O19:O28" si="40">IFERROR(K19/K$29,0)</f>
        <v>0.34054030707621985</v>
      </c>
      <c r="P19" s="113">
        <f t="shared" ref="P19:P28" si="41">IFERROR(L19/L$29,0)</f>
        <v>0.28283511934085703</v>
      </c>
      <c r="R19" s="113">
        <f>IFERROR(J19/'0. Control Panel'!$I$17,0)</f>
        <v>3.8262992100011545E-3</v>
      </c>
      <c r="S19" s="113">
        <f>IFERROR(K19/'0. Control Panel'!$I$17,0)</f>
        <v>1.6904820807151225E-2</v>
      </c>
      <c r="T19" s="113">
        <f>IFERROR(L19/'0. Control Panel'!$I$17,0)</f>
        <v>2.752263618821434E-2</v>
      </c>
      <c r="V19" s="114">
        <f>IF($I19=0,0,IF($I19=$Z19,INDEX($Z$1:$AS$41,MATCH($I19,$Z$1:$Z$41,0),MATCH($V$4&amp;V$6,$Z$1:$AS$1,0)),"n/a"))</f>
        <v>5.0000000000000001E-3</v>
      </c>
      <c r="W19" s="114">
        <f t="shared" ref="W19:X28" si="42">IF($I19=0,0,IF($I19=$Z19,INDEX($Z$1:$AS$41,MATCH($I19,$Z$1:$Z$41,0),MATCH($V$4&amp;W$6,$Z$1:$AS$1,0)),"n/a"))</f>
        <v>1.4999999999999999E-2</v>
      </c>
      <c r="X19" s="114">
        <f t="shared" si="42"/>
        <v>0.03</v>
      </c>
      <c r="Z19" s="111" t="str">
        <f>VLOOKUP($H19,'0. Control Panel'!$B$20:$D$55,2,FALSE)</f>
        <v>Reduced Data Management Costs</v>
      </c>
      <c r="AA19" s="113">
        <v>5.0000000000000001E-3</v>
      </c>
      <c r="AB19" s="113">
        <v>0.01</v>
      </c>
      <c r="AC19" s="113">
        <v>0.02</v>
      </c>
      <c r="AE19" s="113">
        <v>5.0000000000000001E-3</v>
      </c>
      <c r="AF19" s="113">
        <v>0.01</v>
      </c>
      <c r="AG19" s="113">
        <v>0.02</v>
      </c>
      <c r="AI19" s="113">
        <v>1E-3</v>
      </c>
      <c r="AJ19" s="113">
        <v>3.0000000000000001E-3</v>
      </c>
      <c r="AK19" s="113">
        <v>8.0000000000000002E-3</v>
      </c>
      <c r="AM19" s="113">
        <v>3.0000000000000001E-3</v>
      </c>
      <c r="AN19" s="113">
        <v>0.01</v>
      </c>
      <c r="AO19" s="113">
        <v>2.5000000000000001E-2</v>
      </c>
      <c r="AQ19" s="113">
        <v>5.0000000000000001E-3</v>
      </c>
      <c r="AR19" s="113">
        <v>1.4999999999999999E-2</v>
      </c>
      <c r="AS19" s="113">
        <v>0.03</v>
      </c>
    </row>
    <row r="20" spans="2:45" ht="16.5" thickBot="1" x14ac:dyDescent="0.3">
      <c r="B20" s="137" t="str">
        <f>B6&amp;" Payback (yrs)"</f>
        <v>Pragmatic Payback (yrs)</v>
      </c>
      <c r="C20" s="140">
        <f>IFERROR(COUNTIF(D14:F14,"&lt;0")+INDEX(D15:F15,,COUNTIF(D15:F15,"n/m")+1),"No Payback")</f>
        <v>2.6946156798807239</v>
      </c>
      <c r="D20" s="74"/>
      <c r="E20" s="134" t="s">
        <v>169</v>
      </c>
      <c r="F20" s="141">
        <f>INDEX('2. Customer Benefit Input'!$L$135:$P$146,MATCH($I$6,'2. Customer Benefit Input'!$L$135:$L$146,0),MATCH($B$6,'2. Customer Benefit Input'!$L$135:$P$135,0))+INDEX('3. Product Benefit Input'!$L$135:$P$146,MATCH($I$6,'3. Product Benefit Input'!$L$135:$L$146,0),MATCH($B$6,'3. Product Benefit Input'!$L$135:$P$135,0))*365</f>
        <v>81683.745000000024</v>
      </c>
      <c r="H20" s="91" t="s">
        <v>23</v>
      </c>
      <c r="I20" s="115" t="str">
        <f>VLOOKUP($H20,'0. Control Panel'!$B$20:$D$55,2,FALSE)</f>
        <v>Reduced Report Generation Cost</v>
      </c>
      <c r="J20" s="116">
        <f>INDEX('3.1 Product Benefit Output'!$A$1:$U$134,MATCH($I$6&amp;$H20,'3.1 Product Benefit Output'!$A$1:$A$134,0),MATCH($I$4&amp;J$6,'3.1 Product Benefit Output'!$A$1:$U$1,0))</f>
        <v>190350</v>
      </c>
      <c r="K20" s="116">
        <f>INDEX('3.1 Product Benefit Output'!$A$1:$U$134,MATCH($I$6&amp;$H20,'3.1 Product Benefit Output'!$A$1:$A$134,0),MATCH($I$4&amp;K$6,'3.1 Product Benefit Output'!$A$1:$U$1,0))</f>
        <v>509490</v>
      </c>
      <c r="L20" s="116">
        <f>INDEX('3.1 Product Benefit Output'!$A$1:$U$134,MATCH($I$6&amp;$H20,'3.1 Product Benefit Output'!$A$1:$A$134,0),MATCH($I$4&amp;L$6,'3.1 Product Benefit Output'!$A$1:$U$1,0))</f>
        <v>1018980</v>
      </c>
      <c r="N20" s="113">
        <f t="shared" ref="N20:N28" si="43">IFERROR(J20/J$29,0)</f>
        <v>0.12954707864021506</v>
      </c>
      <c r="O20" s="113">
        <f t="shared" si="40"/>
        <v>0.11284785285857306</v>
      </c>
      <c r="P20" s="113">
        <f t="shared" si="41"/>
        <v>0.11513534035081376</v>
      </c>
      <c r="R20" s="113">
        <f>IFERROR(J20/'0. Control Panel'!$I$17,0)</f>
        <v>2.0929196971945971E-3</v>
      </c>
      <c r="S20" s="113">
        <f>IFERROR(K20/'0. Control Panel'!$I$17,0)</f>
        <v>5.601899955469794E-3</v>
      </c>
      <c r="T20" s="113">
        <f>IFERROR(L20/'0. Control Panel'!$I$17,0)</f>
        <v>1.1203799910939588E-2</v>
      </c>
      <c r="V20" s="114">
        <f t="shared" ref="V20:V28" si="44">IF($I20=0,0,IF($I20=$Z20,INDEX($Z$1:$AS$41,MATCH($I20,$Z$1:$Z$41,0),MATCH($V$4&amp;V$6,$Z$1:$AS$1,0)),"n/a"))</f>
        <v>1E-3</v>
      </c>
      <c r="W20" s="114">
        <f t="shared" si="42"/>
        <v>5.0000000000000001E-3</v>
      </c>
      <c r="X20" s="114">
        <f t="shared" si="42"/>
        <v>1.4999999999999999E-2</v>
      </c>
      <c r="Z20" s="115" t="str">
        <f>VLOOKUP($H20,'0. Control Panel'!$B$20:$D$55,2,FALSE)</f>
        <v>Reduced Report Generation Cost</v>
      </c>
      <c r="AA20" s="113">
        <v>3.0000000000000001E-3</v>
      </c>
      <c r="AB20" s="113">
        <v>8.0000000000000002E-3</v>
      </c>
      <c r="AC20" s="113">
        <v>1.4999999999999999E-2</v>
      </c>
      <c r="AE20" s="113">
        <v>3.0000000000000001E-3</v>
      </c>
      <c r="AF20" s="113">
        <v>0.01</v>
      </c>
      <c r="AG20" s="113">
        <v>2.5000000000000001E-2</v>
      </c>
      <c r="AI20" s="113">
        <v>1E-3</v>
      </c>
      <c r="AJ20" s="113">
        <v>5.0000000000000001E-3</v>
      </c>
      <c r="AK20" s="113">
        <v>0.01</v>
      </c>
      <c r="AM20" s="113">
        <v>3.0000000000000001E-3</v>
      </c>
      <c r="AN20" s="113">
        <v>8.0000000000000002E-3</v>
      </c>
      <c r="AO20" s="113">
        <v>1.4999999999999999E-2</v>
      </c>
      <c r="AQ20" s="113">
        <v>1E-3</v>
      </c>
      <c r="AR20" s="113">
        <v>5.0000000000000001E-3</v>
      </c>
      <c r="AS20" s="113">
        <v>1.4999999999999999E-2</v>
      </c>
    </row>
    <row r="21" spans="2:45" x14ac:dyDescent="0.25">
      <c r="B21" s="130"/>
      <c r="C21" s="74"/>
      <c r="D21" s="74"/>
      <c r="E21" s="74"/>
      <c r="F21" s="74"/>
      <c r="H21" s="91" t="s">
        <v>24</v>
      </c>
      <c r="I21" s="115" t="str">
        <f>VLOOKUP($H21,'0. Control Panel'!$B$20:$D$55,2,FALSE)</f>
        <v>Reduced Integration Costs</v>
      </c>
      <c r="J21" s="116">
        <f>INDEX('3.1 Product Benefit Output'!$A$1:$U$134,MATCH($I$6&amp;$H21,'3.1 Product Benefit Output'!$A$1:$A$134,0),MATCH($I$4&amp;J$6,'3.1 Product Benefit Output'!$A$1:$U$1,0))</f>
        <v>0</v>
      </c>
      <c r="K21" s="116">
        <f>INDEX('3.1 Product Benefit Output'!$A$1:$U$134,MATCH($I$6&amp;$H21,'3.1 Product Benefit Output'!$A$1:$A$134,0),MATCH($I$4&amp;K$6,'3.1 Product Benefit Output'!$A$1:$U$1,0))</f>
        <v>46305</v>
      </c>
      <c r="L21" s="116">
        <f>INDEX('3.1 Product Benefit Output'!$A$1:$U$134,MATCH($I$6&amp;$H21,'3.1 Product Benefit Output'!$A$1:$A$134,0),MATCH($I$4&amp;L$6,'3.1 Product Benefit Output'!$A$1:$U$1,0))</f>
        <v>92610.000000000029</v>
      </c>
      <c r="N21" s="113">
        <f t="shared" si="43"/>
        <v>0</v>
      </c>
      <c r="O21" s="113">
        <f t="shared" si="40"/>
        <v>1.0256177406065331E-2</v>
      </c>
      <c r="P21" s="113">
        <f t="shared" si="41"/>
        <v>1.0464075712858805E-2</v>
      </c>
      <c r="R21" s="113">
        <f>IFERROR(J21/'0. Control Panel'!$I$17,0)</f>
        <v>0</v>
      </c>
      <c r="S21" s="113">
        <f>IFERROR(K21/'0. Control Panel'!$I$17,0)</f>
        <v>5.0912869229627431E-4</v>
      </c>
      <c r="T21" s="113">
        <f>IFERROR(L21/'0. Control Panel'!$I$17,0)</f>
        <v>1.0182573845925488E-3</v>
      </c>
      <c r="V21" s="114">
        <f t="shared" si="44"/>
        <v>5.0000000000000001E-4</v>
      </c>
      <c r="W21" s="114">
        <f t="shared" si="42"/>
        <v>1E-3</v>
      </c>
      <c r="X21" s="114">
        <f t="shared" si="42"/>
        <v>2E-3</v>
      </c>
      <c r="Z21" s="115" t="str">
        <f>VLOOKUP($H21,'0. Control Panel'!$B$20:$D$55,2,FALSE)</f>
        <v>Reduced Integration Costs</v>
      </c>
      <c r="AA21" s="113">
        <v>5.0000000000000001E-4</v>
      </c>
      <c r="AB21" s="113">
        <v>1E-3</v>
      </c>
      <c r="AC21" s="113">
        <v>2E-3</v>
      </c>
      <c r="AE21" s="113">
        <v>0</v>
      </c>
      <c r="AF21" s="113">
        <v>1E-3</v>
      </c>
      <c r="AG21" s="113">
        <v>2E-3</v>
      </c>
      <c r="AI21" s="113">
        <v>5.0000000000000001E-4</v>
      </c>
      <c r="AJ21" s="113">
        <v>1E-3</v>
      </c>
      <c r="AK21" s="113">
        <v>2E-3</v>
      </c>
      <c r="AM21" s="113">
        <v>5.0000000000000001E-4</v>
      </c>
      <c r="AN21" s="113">
        <v>1E-3</v>
      </c>
      <c r="AO21" s="113">
        <v>2E-3</v>
      </c>
      <c r="AQ21" s="113">
        <v>5.0000000000000001E-4</v>
      </c>
      <c r="AR21" s="113">
        <v>1E-3</v>
      </c>
      <c r="AS21" s="113">
        <v>2E-3</v>
      </c>
    </row>
    <row r="22" spans="2:45" x14ac:dyDescent="0.25">
      <c r="D22" s="74"/>
      <c r="E22" s="74"/>
      <c r="F22" s="74"/>
      <c r="H22" s="91" t="s">
        <v>25</v>
      </c>
      <c r="I22" s="115" t="str">
        <f>VLOOKUP($H22,'0. Control Panel'!$B$20:$D$55,2,FALSE)</f>
        <v>Reduced Marketing Costs</v>
      </c>
      <c r="J22" s="116">
        <f>INDEX('3.1 Product Benefit Output'!$A$1:$U$134,MATCH($I$6&amp;$H22,'3.1 Product Benefit Output'!$A$1:$A$134,0),MATCH($I$4&amp;J$6,'3.1 Product Benefit Output'!$A$1:$U$1,0))</f>
        <v>40000</v>
      </c>
      <c r="K22" s="116">
        <f>INDEX('3.1 Product Benefit Output'!$A$1:$U$134,MATCH($I$6&amp;$H22,'3.1 Product Benefit Output'!$A$1:$A$134,0),MATCH($I$4&amp;K$6,'3.1 Product Benefit Output'!$A$1:$U$1,0))</f>
        <v>717600</v>
      </c>
      <c r="L22" s="116">
        <f>INDEX('3.1 Product Benefit Output'!$A$1:$U$134,MATCH($I$6&amp;$H22,'3.1 Product Benefit Output'!$A$1:$A$134,0),MATCH($I$4&amp;L$6,'3.1 Product Benefit Output'!$A$1:$U$1,0))</f>
        <v>1084400</v>
      </c>
      <c r="N22" s="113">
        <f t="shared" si="43"/>
        <v>2.722292170007146E-2</v>
      </c>
      <c r="O22" s="113">
        <f t="shared" si="40"/>
        <v>0.15894250959059458</v>
      </c>
      <c r="P22" s="113">
        <f t="shared" si="41"/>
        <v>0.12252719687964675</v>
      </c>
      <c r="R22" s="113">
        <f>IFERROR(J22/'0. Control Panel'!$I$17,0)</f>
        <v>4.3980450689668442E-4</v>
      </c>
      <c r="S22" s="113">
        <f>IFERROR(K22/'0. Control Panel'!$I$17,0)</f>
        <v>7.8900928537265179E-3</v>
      </c>
      <c r="T22" s="113">
        <f>IFERROR(L22/'0. Control Panel'!$I$17,0)</f>
        <v>1.1923100181969114E-2</v>
      </c>
      <c r="V22" s="114">
        <f t="shared" si="44"/>
        <v>3.0000000000000001E-3</v>
      </c>
      <c r="W22" s="114">
        <f t="shared" si="42"/>
        <v>8.0000000000000002E-3</v>
      </c>
      <c r="X22" s="114">
        <f t="shared" si="42"/>
        <v>1.4999999999999999E-2</v>
      </c>
      <c r="Z22" s="115" t="str">
        <f>VLOOKUP($H22,'0. Control Panel'!$B$20:$D$55,2,FALSE)</f>
        <v>Reduced Marketing Costs</v>
      </c>
      <c r="AA22" s="113">
        <v>0</v>
      </c>
      <c r="AB22" s="113">
        <v>3.0000000000000001E-3</v>
      </c>
      <c r="AC22" s="113">
        <v>5.0000000000000001E-3</v>
      </c>
      <c r="AE22" s="113">
        <v>0</v>
      </c>
      <c r="AF22" s="113">
        <v>1E-3</v>
      </c>
      <c r="AG22" s="113">
        <v>2E-3</v>
      </c>
      <c r="AI22" s="113">
        <v>0</v>
      </c>
      <c r="AJ22" s="113">
        <v>5.0000000000000001E-4</v>
      </c>
      <c r="AK22" s="113">
        <v>1E-3</v>
      </c>
      <c r="AM22" s="113">
        <v>3.0000000000000001E-3</v>
      </c>
      <c r="AN22" s="113">
        <v>8.0000000000000002E-3</v>
      </c>
      <c r="AO22" s="113">
        <v>1.4999999999999999E-2</v>
      </c>
      <c r="AQ22" s="113">
        <v>3.0000000000000001E-3</v>
      </c>
      <c r="AR22" s="113">
        <v>8.0000000000000002E-3</v>
      </c>
      <c r="AS22" s="113">
        <v>1.4999999999999999E-2</v>
      </c>
    </row>
    <row r="23" spans="2:45" x14ac:dyDescent="0.25">
      <c r="D23" s="74"/>
      <c r="E23" s="74"/>
      <c r="F23" s="74"/>
      <c r="H23" s="91" t="s">
        <v>26</v>
      </c>
      <c r="I23" s="115" t="str">
        <f>VLOOKUP($H23,'0. Control Panel'!$B$20:$D$55,2,FALSE)</f>
        <v>Reduced Time to Take New Product to Market</v>
      </c>
      <c r="J23" s="116">
        <f>INDEX('3.1 Product Benefit Output'!$A$1:$U$134,MATCH($I$6&amp;$H23,'3.1 Product Benefit Output'!$A$1:$A$134,0),MATCH($I$4&amp;J$6,'3.1 Product Benefit Output'!$A$1:$U$1,0))</f>
        <v>588000</v>
      </c>
      <c r="K23" s="116">
        <f>INDEX('3.1 Product Benefit Output'!$A$1:$U$134,MATCH($I$6&amp;$H23,'3.1 Product Benefit Output'!$A$1:$A$134,0),MATCH($I$4&amp;K$6,'3.1 Product Benefit Output'!$A$1:$U$1,0))</f>
        <v>1176000</v>
      </c>
      <c r="L23" s="116">
        <f>INDEX('3.1 Product Benefit Output'!$A$1:$U$134,MATCH($I$6&amp;$H23,'3.1 Product Benefit Output'!$A$1:$A$134,0),MATCH($I$4&amp;L$6,'3.1 Product Benefit Output'!$A$1:$U$1,0))</f>
        <v>3324000.0000000005</v>
      </c>
      <c r="N23" s="113">
        <f t="shared" si="43"/>
        <v>0.40017694899105044</v>
      </c>
      <c r="O23" s="113">
        <f t="shared" si="40"/>
        <v>0.2604743468207068</v>
      </c>
      <c r="P23" s="113">
        <f t="shared" si="41"/>
        <v>0.37558133753960332</v>
      </c>
      <c r="R23" s="113">
        <f>IFERROR(J23/'0. Control Panel'!$I$17,0)</f>
        <v>6.4651262513812612E-3</v>
      </c>
      <c r="S23" s="113">
        <f>IFERROR(K23/'0. Control Panel'!$I$17,0)</f>
        <v>1.2930252502762522E-2</v>
      </c>
      <c r="T23" s="113">
        <f>IFERROR(L23/'0. Control Panel'!$I$17,0)</f>
        <v>3.6547754523114484E-2</v>
      </c>
      <c r="V23" s="114">
        <f t="shared" si="44"/>
        <v>5.0000000000000001E-3</v>
      </c>
      <c r="W23" s="114">
        <f t="shared" si="42"/>
        <v>1.4999999999999999E-2</v>
      </c>
      <c r="X23" s="114">
        <f t="shared" si="42"/>
        <v>0.03</v>
      </c>
      <c r="Z23" s="115" t="str">
        <f>VLOOKUP($H23,'0. Control Panel'!$B$20:$D$55,2,FALSE)</f>
        <v>Reduced Time to Take New Product to Market</v>
      </c>
      <c r="AA23" s="113">
        <v>3.0000000000000001E-3</v>
      </c>
      <c r="AB23" s="113">
        <v>5.0000000000000001E-3</v>
      </c>
      <c r="AC23" s="113">
        <v>0.01</v>
      </c>
      <c r="AE23" s="113">
        <v>1E-3</v>
      </c>
      <c r="AF23" s="113">
        <v>3.0000000000000001E-3</v>
      </c>
      <c r="AG23" s="113">
        <v>5.0000000000000001E-3</v>
      </c>
      <c r="AI23" s="113">
        <v>5.0000000000000001E-3</v>
      </c>
      <c r="AJ23" s="113">
        <v>1.4999999999999999E-2</v>
      </c>
      <c r="AK23" s="113">
        <v>0.03</v>
      </c>
      <c r="AM23" s="113">
        <v>5.0000000000000001E-3</v>
      </c>
      <c r="AN23" s="113">
        <v>1.4999999999999999E-2</v>
      </c>
      <c r="AO23" s="113">
        <v>0.03</v>
      </c>
      <c r="AQ23" s="113">
        <v>5.0000000000000001E-3</v>
      </c>
      <c r="AR23" s="113">
        <v>1.4999999999999999E-2</v>
      </c>
      <c r="AS23" s="113">
        <v>0.03</v>
      </c>
    </row>
    <row r="24" spans="2:45" x14ac:dyDescent="0.25">
      <c r="B24" s="35"/>
      <c r="H24" s="91" t="s">
        <v>27</v>
      </c>
      <c r="I24" s="115" t="str">
        <f>VLOOKUP($H24,'0. Control Panel'!$B$20:$D$55,2,FALSE)</f>
        <v>Reduced Credit Risk Costs</v>
      </c>
      <c r="J24" s="116">
        <f>INDEX('3.1 Product Benefit Output'!$A$1:$U$134,MATCH($I$6&amp;$H24,'3.1 Product Benefit Output'!$A$1:$A$134,0),MATCH($I$4&amp;J$6,'3.1 Product Benefit Output'!$A$1:$U$1,0))</f>
        <v>106000</v>
      </c>
      <c r="K24" s="116">
        <f>INDEX('3.1 Product Benefit Output'!$A$1:$U$134,MATCH($I$6&amp;$H24,'3.1 Product Benefit Output'!$A$1:$A$134,0),MATCH($I$4&amp;K$6,'3.1 Product Benefit Output'!$A$1:$U$1,0))</f>
        <v>228960</v>
      </c>
      <c r="L24" s="116">
        <f>INDEX('3.1 Product Benefit Output'!$A$1:$U$134,MATCH($I$6&amp;$H24,'3.1 Product Benefit Output'!$A$1:$A$134,0),MATCH($I$4&amp;L$6,'3.1 Product Benefit Output'!$A$1:$U$1,0))</f>
        <v>426120</v>
      </c>
      <c r="N24" s="113">
        <f t="shared" si="43"/>
        <v>7.214074250518937E-2</v>
      </c>
      <c r="O24" s="113">
        <f t="shared" si="40"/>
        <v>5.071276058509272E-2</v>
      </c>
      <c r="P24" s="113">
        <f t="shared" si="41"/>
        <v>4.8147629227549865E-2</v>
      </c>
      <c r="R24" s="113">
        <f>IFERROR(J24/'0. Control Panel'!$I$17,0)</f>
        <v>1.1654819432762138E-3</v>
      </c>
      <c r="S24" s="113">
        <f>IFERROR(K24/'0. Control Panel'!$I$17,0)</f>
        <v>2.5174409974766218E-3</v>
      </c>
      <c r="T24" s="113">
        <f>IFERROR(L24/'0. Control Panel'!$I$17,0)</f>
        <v>4.6852374119703789E-3</v>
      </c>
      <c r="V24" s="114">
        <f t="shared" si="44"/>
        <v>2E-3</v>
      </c>
      <c r="W24" s="114">
        <f t="shared" si="42"/>
        <v>5.0000000000000001E-3</v>
      </c>
      <c r="X24" s="114">
        <f t="shared" si="42"/>
        <v>0.01</v>
      </c>
      <c r="Z24" s="115" t="str">
        <f>VLOOKUP($H24,'0. Control Panel'!$B$20:$D$55,2,FALSE)</f>
        <v>Reduced Credit Risk Costs</v>
      </c>
      <c r="AA24" s="113">
        <v>3.0000000000000001E-3</v>
      </c>
      <c r="AB24" s="113">
        <v>4.0000000000000001E-3</v>
      </c>
      <c r="AC24" s="113">
        <v>8.0000000000000002E-3</v>
      </c>
      <c r="AE24" s="113">
        <v>0</v>
      </c>
      <c r="AF24" s="113">
        <v>1E-3</v>
      </c>
      <c r="AG24" s="113">
        <v>2E-3</v>
      </c>
      <c r="AI24" s="113">
        <v>1E-3</v>
      </c>
      <c r="AJ24" s="113">
        <v>4.0000000000000001E-3</v>
      </c>
      <c r="AK24" s="113">
        <v>5.0000000000000001E-3</v>
      </c>
      <c r="AM24" s="113">
        <v>2E-3</v>
      </c>
      <c r="AN24" s="113">
        <v>5.0000000000000001E-3</v>
      </c>
      <c r="AO24" s="113">
        <v>0.01</v>
      </c>
      <c r="AQ24" s="113">
        <v>2E-3</v>
      </c>
      <c r="AR24" s="113">
        <v>5.0000000000000001E-3</v>
      </c>
      <c r="AS24" s="113">
        <v>0.01</v>
      </c>
    </row>
    <row r="25" spans="2:45" x14ac:dyDescent="0.25">
      <c r="B25" s="35"/>
      <c r="H25" s="91" t="s">
        <v>28</v>
      </c>
      <c r="I25" s="115" t="str">
        <f>VLOOKUP($H25,'0. Control Panel'!$B$20:$D$55,2,FALSE)</f>
        <v>Reduced Non-Compliance Risk  Costs</v>
      </c>
      <c r="J25" s="116">
        <f>INDEX('3.1 Product Benefit Output'!$A$1:$U$134,MATCH($I$6&amp;$H25,'3.1 Product Benefit Output'!$A$1:$A$134,0),MATCH($I$4&amp;J$6,'3.1 Product Benefit Output'!$A$1:$U$1,0))</f>
        <v>197000</v>
      </c>
      <c r="K25" s="116">
        <f>INDEX('3.1 Product Benefit Output'!$A$1:$U$134,MATCH($I$6&amp;$H25,'3.1 Product Benefit Output'!$A$1:$A$134,0),MATCH($I$4&amp;K$6,'3.1 Product Benefit Output'!$A$1:$U$1,0))</f>
        <v>299000</v>
      </c>
      <c r="L25" s="116">
        <f>INDEX('3.1 Product Benefit Output'!$A$1:$U$134,MATCH($I$6&amp;$H25,'3.1 Product Benefit Output'!$A$1:$A$134,0),MATCH($I$4&amp;L$6,'3.1 Product Benefit Output'!$A$1:$U$1,0))</f>
        <v>401000</v>
      </c>
      <c r="N25" s="113">
        <f t="shared" si="43"/>
        <v>0.13407288937285194</v>
      </c>
      <c r="O25" s="113">
        <f t="shared" si="40"/>
        <v>6.6226045662747743E-2</v>
      </c>
      <c r="P25" s="113">
        <f t="shared" si="41"/>
        <v>4.5309300948670549E-2</v>
      </c>
      <c r="R25" s="113">
        <f>IFERROR(J25/'0. Control Panel'!$I$17,0)</f>
        <v>2.1660371964661706E-3</v>
      </c>
      <c r="S25" s="113">
        <f>IFERROR(K25/'0. Control Panel'!$I$17,0)</f>
        <v>3.2875386890527159E-3</v>
      </c>
      <c r="T25" s="113">
        <f>IFERROR(L25/'0. Control Panel'!$I$17,0)</f>
        <v>4.4090401816392613E-3</v>
      </c>
      <c r="V25" s="114">
        <f t="shared" si="44"/>
        <v>1E-3</v>
      </c>
      <c r="W25" s="114">
        <f t="shared" si="42"/>
        <v>2E-3</v>
      </c>
      <c r="X25" s="114">
        <f t="shared" si="42"/>
        <v>5.0000000000000001E-3</v>
      </c>
      <c r="Z25" s="115" t="str">
        <f>VLOOKUP($H25,'0. Control Panel'!$B$20:$D$55,2,FALSE)</f>
        <v>Reduced Non-Compliance Risk  Costs</v>
      </c>
      <c r="AA25" s="113">
        <v>2E-3</v>
      </c>
      <c r="AB25" s="113">
        <v>5.0000000000000001E-3</v>
      </c>
      <c r="AC25" s="113">
        <v>0.01</v>
      </c>
      <c r="AE25" s="113">
        <v>3.0000000000000001E-3</v>
      </c>
      <c r="AF25" s="113">
        <v>8.0000000000000002E-3</v>
      </c>
      <c r="AG25" s="113">
        <v>1.4999999999999999E-2</v>
      </c>
      <c r="AI25" s="113">
        <v>0</v>
      </c>
      <c r="AJ25" s="113">
        <v>5.0000000000000001E-4</v>
      </c>
      <c r="AK25" s="113">
        <v>1E-3</v>
      </c>
      <c r="AM25" s="113">
        <v>0</v>
      </c>
      <c r="AN25" s="113">
        <v>5.0000000000000001E-4</v>
      </c>
      <c r="AO25" s="113">
        <v>1E-3</v>
      </c>
      <c r="AQ25" s="113">
        <v>1E-3</v>
      </c>
      <c r="AR25" s="113">
        <v>2E-3</v>
      </c>
      <c r="AS25" s="113">
        <v>5.0000000000000001E-3</v>
      </c>
    </row>
    <row r="26" spans="2:45" x14ac:dyDescent="0.25">
      <c r="B26" s="35"/>
      <c r="H26" s="91" t="s">
        <v>29</v>
      </c>
      <c r="I26" s="115">
        <f>VLOOKUP($H26,'0. Control Panel'!$B$20:$D$55,2,FALSE)</f>
        <v>0</v>
      </c>
      <c r="J26" s="116">
        <f>INDEX('3.1 Product Benefit Output'!$A$1:$U$134,MATCH($I$6&amp;$H26,'3.1 Product Benefit Output'!$A$1:$A$134,0),MATCH($I$4&amp;J$6,'3.1 Product Benefit Output'!$A$1:$U$1,0))</f>
        <v>0</v>
      </c>
      <c r="K26" s="116">
        <f>INDEX('3.1 Product Benefit Output'!$A$1:$U$134,MATCH($I$6&amp;$H26,'3.1 Product Benefit Output'!$A$1:$A$134,0),MATCH($I$4&amp;K$6,'3.1 Product Benefit Output'!$A$1:$U$1,0))</f>
        <v>0</v>
      </c>
      <c r="L26" s="116">
        <f>INDEX('3.1 Product Benefit Output'!$A$1:$U$134,MATCH($I$6&amp;$H26,'3.1 Product Benefit Output'!$A$1:$A$134,0),MATCH($I$4&amp;L$6,'3.1 Product Benefit Output'!$A$1:$U$1,0))</f>
        <v>0</v>
      </c>
      <c r="N26" s="113">
        <f t="shared" si="43"/>
        <v>0</v>
      </c>
      <c r="O26" s="113">
        <f t="shared" si="40"/>
        <v>0</v>
      </c>
      <c r="P26" s="113">
        <f t="shared" si="41"/>
        <v>0</v>
      </c>
      <c r="R26" s="113">
        <f>IFERROR(J26/'0. Control Panel'!$I$17,0)</f>
        <v>0</v>
      </c>
      <c r="S26" s="113">
        <f>IFERROR(K26/'0. Control Panel'!$I$17,0)</f>
        <v>0</v>
      </c>
      <c r="T26" s="113">
        <f>IFERROR(L26/'0. Control Panel'!$I$17,0)</f>
        <v>0</v>
      </c>
      <c r="V26" s="114">
        <f t="shared" si="44"/>
        <v>0</v>
      </c>
      <c r="W26" s="114">
        <f t="shared" si="42"/>
        <v>0</v>
      </c>
      <c r="X26" s="114">
        <f t="shared" si="42"/>
        <v>0</v>
      </c>
      <c r="AA26" s="113">
        <v>0</v>
      </c>
      <c r="AB26" s="113">
        <v>0</v>
      </c>
      <c r="AC26" s="113">
        <v>0</v>
      </c>
      <c r="AE26" s="113">
        <v>0</v>
      </c>
      <c r="AF26" s="113">
        <v>0</v>
      </c>
      <c r="AG26" s="113">
        <v>0</v>
      </c>
      <c r="AI26" s="113">
        <v>0</v>
      </c>
      <c r="AJ26" s="113">
        <v>0</v>
      </c>
      <c r="AK26" s="113">
        <v>0</v>
      </c>
      <c r="AM26" s="113">
        <v>0</v>
      </c>
      <c r="AN26" s="113">
        <v>0</v>
      </c>
      <c r="AO26" s="113">
        <v>0</v>
      </c>
      <c r="AQ26" s="113">
        <v>0</v>
      </c>
      <c r="AR26" s="113">
        <v>0</v>
      </c>
      <c r="AS26" s="113">
        <v>0</v>
      </c>
    </row>
    <row r="27" spans="2:45" x14ac:dyDescent="0.25">
      <c r="B27" s="35"/>
      <c r="H27" s="91" t="s">
        <v>30</v>
      </c>
      <c r="I27" s="115">
        <f>VLOOKUP($H27,'0. Control Panel'!$B$20:$D$55,2,FALSE)</f>
        <v>0</v>
      </c>
      <c r="J27" s="116">
        <f>INDEX('3.1 Product Benefit Output'!$A$1:$U$134,MATCH($I$6&amp;$H27,'3.1 Product Benefit Output'!$A$1:$A$134,0),MATCH($I$4&amp;J$6,'3.1 Product Benefit Output'!$A$1:$U$1,0))</f>
        <v>0</v>
      </c>
      <c r="K27" s="116">
        <f>INDEX('3.1 Product Benefit Output'!$A$1:$U$134,MATCH($I$6&amp;$H27,'3.1 Product Benefit Output'!$A$1:$A$134,0),MATCH($I$4&amp;K$6,'3.1 Product Benefit Output'!$A$1:$U$1,0))</f>
        <v>0</v>
      </c>
      <c r="L27" s="116">
        <f>INDEX('3.1 Product Benefit Output'!$A$1:$U$134,MATCH($I$6&amp;$H27,'3.1 Product Benefit Output'!$A$1:$A$134,0),MATCH($I$4&amp;L$6,'3.1 Product Benefit Output'!$A$1:$U$1,0))</f>
        <v>0</v>
      </c>
      <c r="N27" s="113">
        <f t="shared" si="43"/>
        <v>0</v>
      </c>
      <c r="O27" s="113">
        <f t="shared" si="40"/>
        <v>0</v>
      </c>
      <c r="P27" s="113">
        <f t="shared" si="41"/>
        <v>0</v>
      </c>
      <c r="R27" s="113">
        <f>IFERROR(J27/'0. Control Panel'!$I$17,0)</f>
        <v>0</v>
      </c>
      <c r="S27" s="113">
        <f>IFERROR(K27/'0. Control Panel'!$I$17,0)</f>
        <v>0</v>
      </c>
      <c r="T27" s="113">
        <f>IFERROR(L27/'0. Control Panel'!$I$17,0)</f>
        <v>0</v>
      </c>
      <c r="V27" s="114">
        <f t="shared" si="44"/>
        <v>0</v>
      </c>
      <c r="W27" s="114">
        <f t="shared" si="42"/>
        <v>0</v>
      </c>
      <c r="X27" s="114">
        <f t="shared" si="42"/>
        <v>0</v>
      </c>
      <c r="AA27" s="113">
        <v>0</v>
      </c>
      <c r="AB27" s="113">
        <v>0</v>
      </c>
      <c r="AC27" s="113">
        <v>0</v>
      </c>
      <c r="AE27" s="113">
        <v>0</v>
      </c>
      <c r="AF27" s="113">
        <v>0</v>
      </c>
      <c r="AG27" s="113">
        <v>0</v>
      </c>
      <c r="AI27" s="113">
        <v>0</v>
      </c>
      <c r="AJ27" s="113">
        <v>0</v>
      </c>
      <c r="AK27" s="113">
        <v>0</v>
      </c>
      <c r="AM27" s="113">
        <v>0</v>
      </c>
      <c r="AN27" s="113">
        <v>0</v>
      </c>
      <c r="AO27" s="113">
        <v>0</v>
      </c>
      <c r="AQ27" s="113">
        <v>0</v>
      </c>
      <c r="AR27" s="113">
        <v>0</v>
      </c>
      <c r="AS27" s="113">
        <v>0</v>
      </c>
    </row>
    <row r="28" spans="2:45" x14ac:dyDescent="0.25">
      <c r="B28" s="35"/>
      <c r="H28" s="91" t="s">
        <v>31</v>
      </c>
      <c r="I28" s="129">
        <f>VLOOKUP($H28,'0. Control Panel'!$B$20:$D$55,2,FALSE)</f>
        <v>0</v>
      </c>
      <c r="J28" s="120">
        <f>INDEX('3.1 Product Benefit Output'!$A$1:$U$134,MATCH($I$6&amp;$H28,'3.1 Product Benefit Output'!$A$1:$A$134,0),MATCH($I$4&amp;J$6,'3.1 Product Benefit Output'!$A$1:$U$1,0))</f>
        <v>0</v>
      </c>
      <c r="K28" s="120">
        <f>INDEX('3.1 Product Benefit Output'!$A$1:$U$134,MATCH($I$6&amp;$H28,'3.1 Product Benefit Output'!$A$1:$A$134,0),MATCH($I$4&amp;K$6,'3.1 Product Benefit Output'!$A$1:$U$1,0))</f>
        <v>0</v>
      </c>
      <c r="L28" s="120">
        <f>INDEX('3.1 Product Benefit Output'!$A$1:$U$134,MATCH($I$6&amp;$H28,'3.1 Product Benefit Output'!$A$1:$A$134,0),MATCH($I$4&amp;L$6,'3.1 Product Benefit Output'!$A$1:$U$1,0))</f>
        <v>0</v>
      </c>
      <c r="N28" s="113">
        <f t="shared" si="43"/>
        <v>0</v>
      </c>
      <c r="O28" s="113">
        <f t="shared" si="40"/>
        <v>0</v>
      </c>
      <c r="P28" s="113">
        <f t="shared" si="41"/>
        <v>0</v>
      </c>
      <c r="R28" s="113">
        <f>IFERROR(J28/'0. Control Panel'!$I$17,0)</f>
        <v>0</v>
      </c>
      <c r="S28" s="113">
        <f>IFERROR(K28/'0. Control Panel'!$I$17,0)</f>
        <v>0</v>
      </c>
      <c r="T28" s="113">
        <f>IFERROR(L28/'0. Control Panel'!$I$17,0)</f>
        <v>0</v>
      </c>
      <c r="V28" s="114">
        <f t="shared" si="44"/>
        <v>0</v>
      </c>
      <c r="W28" s="114">
        <f t="shared" si="42"/>
        <v>0</v>
      </c>
      <c r="X28" s="114">
        <f t="shared" si="42"/>
        <v>0</v>
      </c>
      <c r="AA28" s="113">
        <v>0</v>
      </c>
      <c r="AB28" s="113">
        <v>0</v>
      </c>
      <c r="AC28" s="113">
        <v>0</v>
      </c>
      <c r="AE28" s="113">
        <v>0</v>
      </c>
      <c r="AF28" s="113">
        <v>0</v>
      </c>
      <c r="AG28" s="113">
        <v>0</v>
      </c>
      <c r="AI28" s="113">
        <v>0</v>
      </c>
      <c r="AJ28" s="113">
        <v>0</v>
      </c>
      <c r="AK28" s="113">
        <v>0</v>
      </c>
      <c r="AM28" s="113">
        <v>0</v>
      </c>
      <c r="AN28" s="113">
        <v>0</v>
      </c>
      <c r="AO28" s="113">
        <v>0</v>
      </c>
      <c r="AQ28" s="113">
        <v>0</v>
      </c>
      <c r="AR28" s="113">
        <v>0</v>
      </c>
      <c r="AS28" s="113">
        <v>0</v>
      </c>
    </row>
    <row r="29" spans="2:45" ht="16.5" thickBot="1" x14ac:dyDescent="0.3">
      <c r="B29" s="35"/>
      <c r="I29" s="78" t="s">
        <v>193</v>
      </c>
      <c r="J29" s="131">
        <f>SUM(J19:J28)</f>
        <v>1469350</v>
      </c>
      <c r="K29" s="131">
        <f t="shared" ref="K29:L29" si="45">SUM(K19:K28)</f>
        <v>4514840</v>
      </c>
      <c r="L29" s="131">
        <f t="shared" si="45"/>
        <v>8850280</v>
      </c>
      <c r="N29" s="132">
        <f t="shared" ref="N29" si="46">IFERROR(J29/J$29,0)</f>
        <v>1</v>
      </c>
      <c r="O29" s="132">
        <f t="shared" ref="O29" si="47">IFERROR(K29/K$29,0)</f>
        <v>1</v>
      </c>
      <c r="P29" s="132">
        <f t="shared" ref="P29" si="48">IFERROR(L29/L$29,0)</f>
        <v>1</v>
      </c>
      <c r="R29" s="132">
        <f>IFERROR(J29/'0. Control Panel'!$I$17,0)</f>
        <v>1.6155668805216083E-2</v>
      </c>
      <c r="S29" s="132">
        <f>IFERROR(K29/'0. Control Panel'!$I$17,0)</f>
        <v>4.9641174497935668E-2</v>
      </c>
      <c r="T29" s="132">
        <f>IFERROR(L29/'0. Control Panel'!$I$17,0)</f>
        <v>9.7309825782439699E-2</v>
      </c>
      <c r="V29" s="132">
        <f>SUM(V19:V28)</f>
        <v>1.7500000000000002E-2</v>
      </c>
      <c r="W29" s="132">
        <f t="shared" ref="W29" si="49">SUM(W19:W28)</f>
        <v>5.0999999999999997E-2</v>
      </c>
      <c r="X29" s="132">
        <f t="shared" ref="X29" si="50">SUM(X19:X28)</f>
        <v>0.107</v>
      </c>
      <c r="AA29" s="132">
        <f>SUM(AA19:AA28)</f>
        <v>1.6500000000000001E-2</v>
      </c>
      <c r="AB29" s="132">
        <f t="shared" ref="AB29" si="51">SUM(AB19:AB28)</f>
        <v>3.6000000000000004E-2</v>
      </c>
      <c r="AC29" s="132">
        <f t="shared" ref="AC29" si="52">SUM(AC19:AC28)</f>
        <v>7.0000000000000007E-2</v>
      </c>
      <c r="AE29" s="132">
        <f>SUM(AE19:AE28)</f>
        <v>1.2E-2</v>
      </c>
      <c r="AF29" s="132">
        <f t="shared" ref="AF29" si="53">SUM(AF19:AF28)</f>
        <v>3.4000000000000002E-2</v>
      </c>
      <c r="AG29" s="132">
        <f t="shared" ref="AG29" si="54">SUM(AG19:AG28)</f>
        <v>7.1000000000000008E-2</v>
      </c>
      <c r="AI29" s="132">
        <f>SUM(AI19:AI28)</f>
        <v>8.5000000000000006E-3</v>
      </c>
      <c r="AJ29" s="132">
        <f t="shared" ref="AJ29" si="55">SUM(AJ19:AJ28)</f>
        <v>2.9000000000000001E-2</v>
      </c>
      <c r="AK29" s="132">
        <f t="shared" ref="AK29" si="56">SUM(AK19:AK28)</f>
        <v>5.7000000000000002E-2</v>
      </c>
      <c r="AM29" s="132">
        <f>SUM(AM19:AM28)</f>
        <v>1.6500000000000001E-2</v>
      </c>
      <c r="AN29" s="132">
        <f t="shared" ref="AN29" si="57">SUM(AN19:AN28)</f>
        <v>4.7500000000000001E-2</v>
      </c>
      <c r="AO29" s="132">
        <f t="shared" ref="AO29" si="58">SUM(AO19:AO28)</f>
        <v>9.799999999999999E-2</v>
      </c>
      <c r="AQ29" s="132">
        <f>SUM(AQ19:AQ28)</f>
        <v>1.7500000000000002E-2</v>
      </c>
      <c r="AR29" s="132">
        <f t="shared" ref="AR29" si="59">SUM(AR19:AR28)</f>
        <v>5.0999999999999997E-2</v>
      </c>
      <c r="AS29" s="132">
        <f t="shared" ref="AS29" si="60">SUM(AS19:AS28)</f>
        <v>0.107</v>
      </c>
    </row>
    <row r="30" spans="2:45" ht="16.5" thickTop="1" x14ac:dyDescent="0.25">
      <c r="B30" s="35"/>
      <c r="I30" s="35"/>
      <c r="J30" s="35"/>
      <c r="K30" s="35"/>
      <c r="L30" s="35"/>
    </row>
    <row r="31" spans="2:45" ht="18.75" x14ac:dyDescent="0.25">
      <c r="B31" s="35"/>
      <c r="I31" s="97" t="s">
        <v>191</v>
      </c>
      <c r="J31" s="142" t="s">
        <v>170</v>
      </c>
      <c r="K31" s="37"/>
      <c r="L31" s="37"/>
      <c r="N31" s="142" t="s">
        <v>177</v>
      </c>
      <c r="O31" s="143"/>
      <c r="P31" s="143"/>
      <c r="R31" s="142" t="s">
        <v>177</v>
      </c>
      <c r="S31" s="143"/>
      <c r="T31" s="143"/>
      <c r="V31" s="142" t="s">
        <v>177</v>
      </c>
      <c r="W31" s="143"/>
      <c r="X31" s="143"/>
      <c r="AA31" s="142" t="s">
        <v>177</v>
      </c>
      <c r="AB31" s="143"/>
      <c r="AC31" s="143"/>
      <c r="AE31" s="142" t="s">
        <v>177</v>
      </c>
      <c r="AF31" s="143"/>
      <c r="AG31" s="143"/>
      <c r="AI31" s="142" t="s">
        <v>177</v>
      </c>
      <c r="AJ31" s="143"/>
      <c r="AK31" s="143"/>
      <c r="AM31" s="142" t="s">
        <v>177</v>
      </c>
      <c r="AN31" s="143"/>
      <c r="AO31" s="143"/>
      <c r="AQ31" s="142" t="s">
        <v>177</v>
      </c>
      <c r="AR31" s="143"/>
      <c r="AS31" s="143"/>
    </row>
    <row r="32" spans="2:45" ht="30" x14ac:dyDescent="0.25">
      <c r="B32" s="35"/>
      <c r="H32" s="68"/>
      <c r="I32" s="71"/>
      <c r="J32" s="71" t="s">
        <v>62</v>
      </c>
      <c r="K32" s="71" t="s">
        <v>63</v>
      </c>
      <c r="L32" s="71" t="s">
        <v>76</v>
      </c>
      <c r="N32" s="144" t="str">
        <f>J32</f>
        <v>Annual Cost</v>
      </c>
      <c r="O32" s="144" t="str">
        <f t="shared" ref="O32:P32" si="61">K32</f>
        <v>One Off Costs</v>
      </c>
      <c r="P32" s="144" t="str">
        <f t="shared" si="61"/>
        <v>Net Cash Cost</v>
      </c>
      <c r="R32" s="144" t="str">
        <f>N32</f>
        <v>Annual Cost</v>
      </c>
      <c r="S32" s="144" t="str">
        <f t="shared" ref="S32" si="62">O32</f>
        <v>One Off Costs</v>
      </c>
      <c r="T32" s="144" t="str">
        <f t="shared" ref="T32" si="63">P32</f>
        <v>Net Cash Cost</v>
      </c>
      <c r="V32" s="144" t="str">
        <f>R32</f>
        <v>Annual Cost</v>
      </c>
      <c r="W32" s="144" t="str">
        <f t="shared" ref="W32" si="64">S32</f>
        <v>One Off Costs</v>
      </c>
      <c r="X32" s="144" t="str">
        <f t="shared" ref="X32" si="65">T32</f>
        <v>Net Cash Cost</v>
      </c>
      <c r="AA32" s="144" t="str">
        <f>V32</f>
        <v>Annual Cost</v>
      </c>
      <c r="AB32" s="144" t="str">
        <f>W32</f>
        <v>One Off Costs</v>
      </c>
      <c r="AC32" s="144" t="str">
        <f>X32</f>
        <v>Net Cash Cost</v>
      </c>
      <c r="AE32" s="144" t="str">
        <f>AA32</f>
        <v>Annual Cost</v>
      </c>
      <c r="AF32" s="144" t="str">
        <f t="shared" ref="AF32" si="66">AB32</f>
        <v>One Off Costs</v>
      </c>
      <c r="AG32" s="144" t="str">
        <f t="shared" ref="AG32" si="67">AC32</f>
        <v>Net Cash Cost</v>
      </c>
      <c r="AI32" s="144" t="str">
        <f>AE32</f>
        <v>Annual Cost</v>
      </c>
      <c r="AJ32" s="144" t="str">
        <f t="shared" ref="AJ32" si="68">AF32</f>
        <v>One Off Costs</v>
      </c>
      <c r="AK32" s="144" t="str">
        <f t="shared" ref="AK32" si="69">AG32</f>
        <v>Net Cash Cost</v>
      </c>
      <c r="AM32" s="144" t="str">
        <f>AI32</f>
        <v>Annual Cost</v>
      </c>
      <c r="AN32" s="144" t="str">
        <f t="shared" ref="AN32" si="70">AJ32</f>
        <v>One Off Costs</v>
      </c>
      <c r="AO32" s="144" t="str">
        <f t="shared" ref="AO32" si="71">AK32</f>
        <v>Net Cash Cost</v>
      </c>
      <c r="AQ32" s="144" t="str">
        <f>AM32</f>
        <v>Annual Cost</v>
      </c>
      <c r="AR32" s="144" t="str">
        <f t="shared" ref="AR32" si="72">AN32</f>
        <v>One Off Costs</v>
      </c>
      <c r="AS32" s="144" t="str">
        <f t="shared" ref="AS32" si="73">AO32</f>
        <v>Net Cash Cost</v>
      </c>
    </row>
    <row r="33" spans="2:45" x14ac:dyDescent="0.25">
      <c r="B33" s="35"/>
      <c r="H33" s="91" t="s">
        <v>54</v>
      </c>
      <c r="I33" s="115" t="str">
        <f>VLOOKUP($H33,'0. Control Panel'!$B$20:$D$55,2,FALSE)</f>
        <v>Application Licenses</v>
      </c>
      <c r="J33" s="116">
        <f>INDEX('4. Implementation Costs'!$C$20:$E$32,MATCH($I$6,'4. Implementation Costs'!$C$20:$C$32,0),MATCH(J$32,'4. Implementation Costs'!$C$20:$E$20,0))</f>
        <v>-117247.50000000001</v>
      </c>
      <c r="K33" s="116">
        <f>INDEX('4. Implementation Costs'!$C$20:$E$32,MATCH($I$6,'4. Implementation Costs'!$C$20:$C$32,0),MATCH(K$32,'4. Implementation Costs'!$C$20:$E$20,0))</f>
        <v>-770000</v>
      </c>
      <c r="L33" s="116">
        <f>SUM(J33:K33)</f>
        <v>-887247.5</v>
      </c>
      <c r="N33" s="113">
        <f>IFERROR(J33/J$41,0)</f>
        <v>0.1</v>
      </c>
      <c r="O33" s="113">
        <f t="shared" ref="O33:O40" si="74">IFERROR(K33/K$41,0)</f>
        <v>3.8308457711442784E-2</v>
      </c>
      <c r="P33" s="113">
        <f t="shared" ref="P33:P40" si="75">IFERROR(L33/L$41,0)</f>
        <v>4.1708710434493403E-2</v>
      </c>
      <c r="R33" s="113">
        <f>IFERROR(-J33/'0. Control Panel'!$I$17,0)</f>
        <v>1.2891494730592253E-3</v>
      </c>
      <c r="S33" s="113">
        <f>IFERROR(-K33/'0. Control Panel'!$I$17,0)</f>
        <v>8.4662367577611752E-3</v>
      </c>
      <c r="T33" s="113">
        <f>IFERROR(-L33/'0. Control Panel'!$I$17,0)</f>
        <v>9.7553862308204006E-3</v>
      </c>
      <c r="V33" s="114">
        <f t="shared" ref="V33:X40" si="76">IF($I33=0,0,IF($I33=$Z33,INDEX($Z$1:$AS$41,MATCH($I33,$Z$1:$Z$41,0),MATCH($V$4&amp;V$6,$Z$1:$AS$1,0)),"n/a"))</f>
        <v>5.0000000000000001E-3</v>
      </c>
      <c r="W33" s="114">
        <f t="shared" si="76"/>
        <v>1.4999999999999999E-2</v>
      </c>
      <c r="X33" s="114">
        <f t="shared" si="76"/>
        <v>0.02</v>
      </c>
      <c r="Z33" s="115" t="str">
        <f>VLOOKUP($H33,'0. Control Panel'!$B$20:$D$55,2,FALSE)</f>
        <v>Application Licenses</v>
      </c>
      <c r="AA33" s="113">
        <v>3.0000000000000001E-3</v>
      </c>
      <c r="AB33" s="113">
        <v>0.01</v>
      </c>
      <c r="AC33" s="113">
        <f>SUM(AA33:AB33)</f>
        <v>1.3000000000000001E-2</v>
      </c>
      <c r="AE33" s="113">
        <v>1E-3</v>
      </c>
      <c r="AF33" s="113">
        <v>5.0000000000000001E-3</v>
      </c>
      <c r="AG33" s="113">
        <f>SUM(AE33:AF33)</f>
        <v>6.0000000000000001E-3</v>
      </c>
      <c r="AI33" s="113">
        <v>1E-3</v>
      </c>
      <c r="AJ33" s="113">
        <v>3.0000000000000001E-3</v>
      </c>
      <c r="AK33" s="113">
        <f>SUM(AI33:AJ33)</f>
        <v>4.0000000000000001E-3</v>
      </c>
      <c r="AM33" s="113">
        <v>2E-3</v>
      </c>
      <c r="AN33" s="113">
        <v>6.0000000000000001E-3</v>
      </c>
      <c r="AO33" s="113">
        <f>SUM(AM33:AN33)</f>
        <v>8.0000000000000002E-3</v>
      </c>
      <c r="AQ33" s="113">
        <v>5.0000000000000001E-3</v>
      </c>
      <c r="AR33" s="113">
        <v>1.4999999999999999E-2</v>
      </c>
      <c r="AS33" s="113">
        <f>SUM(AQ33:AR33)</f>
        <v>0.02</v>
      </c>
    </row>
    <row r="34" spans="2:45" x14ac:dyDescent="0.25">
      <c r="B34" s="35"/>
      <c r="H34" s="91" t="s">
        <v>55</v>
      </c>
      <c r="I34" s="115" t="str">
        <f>VLOOKUP($H34,'0. Control Panel'!$B$20:$D$55,2,FALSE)</f>
        <v>Annual Maintenance</v>
      </c>
      <c r="J34" s="116">
        <f>INDEX('4. Implementation Costs'!$H$20:$J$32,MATCH($I$6,'4. Implementation Costs'!$H$20:$H$32,0),MATCH(J$32,'4. Implementation Costs'!$H$20:$J$20,0))</f>
        <v>-58623.750000000007</v>
      </c>
      <c r="K34" s="116">
        <f>INDEX('4. Implementation Costs'!$H$20:$J$32,MATCH($I$6,'4. Implementation Costs'!$H$20:$H$32,0),MATCH(K$32,'4. Implementation Costs'!$H$20:$J$20,0))</f>
        <v>0</v>
      </c>
      <c r="L34" s="116">
        <f t="shared" ref="L34:L39" si="77">SUM(J34:K34)</f>
        <v>-58623.750000000007</v>
      </c>
      <c r="N34" s="113">
        <f t="shared" ref="N34:N40" si="78">IFERROR(J34/J$41,0)</f>
        <v>0.05</v>
      </c>
      <c r="O34" s="113">
        <f t="shared" si="74"/>
        <v>0</v>
      </c>
      <c r="P34" s="113">
        <f t="shared" si="75"/>
        <v>2.7558499892466675E-3</v>
      </c>
      <c r="R34" s="113">
        <f>IFERROR(-J34/'0. Control Panel'!$I$17,0)</f>
        <v>6.4457473652961266E-4</v>
      </c>
      <c r="S34" s="113">
        <f>IFERROR(-K34/'0. Control Panel'!$I$17,0)</f>
        <v>0</v>
      </c>
      <c r="T34" s="113">
        <f>IFERROR(-L34/'0. Control Panel'!$I$17,0)</f>
        <v>6.4457473652961266E-4</v>
      </c>
      <c r="V34" s="114">
        <f t="shared" si="76"/>
        <v>3.0000000000000001E-3</v>
      </c>
      <c r="W34" s="114">
        <f t="shared" si="76"/>
        <v>0</v>
      </c>
      <c r="X34" s="114">
        <f t="shared" si="76"/>
        <v>3.0000000000000001E-3</v>
      </c>
      <c r="Z34" s="115" t="str">
        <f>VLOOKUP($H34,'0. Control Panel'!$B$20:$D$55,2,FALSE)</f>
        <v>Annual Maintenance</v>
      </c>
      <c r="AA34" s="113">
        <v>3.0000000000000001E-3</v>
      </c>
      <c r="AB34" s="113">
        <v>0</v>
      </c>
      <c r="AC34" s="113">
        <f t="shared" ref="AC34:AC40" si="79">SUM(AA34:AB34)</f>
        <v>3.0000000000000001E-3</v>
      </c>
      <c r="AE34" s="113">
        <v>3.0000000000000001E-3</v>
      </c>
      <c r="AF34" s="113">
        <v>0</v>
      </c>
      <c r="AG34" s="113">
        <f t="shared" ref="AG34:AG40" si="80">SUM(AE34:AF34)</f>
        <v>3.0000000000000001E-3</v>
      </c>
      <c r="AI34" s="113">
        <v>1E-3</v>
      </c>
      <c r="AJ34" s="113">
        <v>0</v>
      </c>
      <c r="AK34" s="113">
        <f t="shared" ref="AK34:AK40" si="81">SUM(AI34:AJ34)</f>
        <v>1E-3</v>
      </c>
      <c r="AM34" s="113">
        <v>2E-3</v>
      </c>
      <c r="AN34" s="113">
        <v>0</v>
      </c>
      <c r="AO34" s="113">
        <f t="shared" ref="AO34:AO40" si="82">SUM(AM34:AN34)</f>
        <v>2E-3</v>
      </c>
      <c r="AQ34" s="113">
        <v>3.0000000000000001E-3</v>
      </c>
      <c r="AR34" s="113">
        <v>0</v>
      </c>
      <c r="AS34" s="113">
        <f t="shared" ref="AS34:AS40" si="83">SUM(AQ34:AR34)</f>
        <v>3.0000000000000001E-3</v>
      </c>
    </row>
    <row r="35" spans="2:45" x14ac:dyDescent="0.25">
      <c r="B35" s="35"/>
      <c r="H35" s="91" t="s">
        <v>56</v>
      </c>
      <c r="I35" s="115" t="str">
        <f>VLOOKUP($H35,'0. Control Panel'!$B$20:$D$55,2,FALSE)</f>
        <v>Removal of Existing Software</v>
      </c>
      <c r="J35" s="116">
        <f>INDEX('4. Implementation Costs'!$C$37:$E$49,MATCH($I$6,'4. Implementation Costs'!$C$37:$C$49,0),MATCH(J$32,'4. Implementation Costs'!$C$37:$E$37,0))</f>
        <v>-117247.50000000001</v>
      </c>
      <c r="K35" s="116">
        <f>INDEX('4. Implementation Costs'!$C$37:$E$49,MATCH($I$6,'4. Implementation Costs'!$C$37:$C$49,0),MATCH(K$32,'4. Implementation Costs'!$C$37:$E$37,0))</f>
        <v>-190000</v>
      </c>
      <c r="L35" s="116">
        <f t="shared" si="77"/>
        <v>-307247.5</v>
      </c>
      <c r="N35" s="113">
        <f t="shared" si="78"/>
        <v>0.1</v>
      </c>
      <c r="O35" s="113">
        <f t="shared" si="74"/>
        <v>9.4527363184079595E-3</v>
      </c>
      <c r="P35" s="113">
        <f t="shared" si="75"/>
        <v>1.4443429831272572E-2</v>
      </c>
      <c r="R35" s="113">
        <f>IFERROR(-J35/'0. Control Panel'!$I$17,0)</f>
        <v>1.2891494730592253E-3</v>
      </c>
      <c r="S35" s="113">
        <f>IFERROR(-K35/'0. Control Panel'!$I$17,0)</f>
        <v>2.0890714077592509E-3</v>
      </c>
      <c r="T35" s="113">
        <f>IFERROR(-L35/'0. Control Panel'!$I$17,0)</f>
        <v>3.3782208808184762E-3</v>
      </c>
      <c r="V35" s="114">
        <f t="shared" si="76"/>
        <v>1E-3</v>
      </c>
      <c r="W35" s="114">
        <f t="shared" si="76"/>
        <v>4.0000000000000001E-3</v>
      </c>
      <c r="X35" s="114">
        <f t="shared" si="76"/>
        <v>5.0000000000000001E-3</v>
      </c>
      <c r="Z35" s="115" t="str">
        <f>VLOOKUP($H35,'0. Control Panel'!$B$20:$D$55,2,FALSE)</f>
        <v>Removal of Existing Software</v>
      </c>
      <c r="AA35" s="113">
        <v>1E-3</v>
      </c>
      <c r="AB35" s="113">
        <v>5.0000000000000001E-3</v>
      </c>
      <c r="AC35" s="113">
        <f t="shared" si="79"/>
        <v>6.0000000000000001E-3</v>
      </c>
      <c r="AE35" s="113">
        <v>1E-3</v>
      </c>
      <c r="AF35" s="113">
        <v>5.0000000000000001E-3</v>
      </c>
      <c r="AG35" s="113">
        <f t="shared" si="80"/>
        <v>6.0000000000000001E-3</v>
      </c>
      <c r="AI35" s="113">
        <v>1E-3</v>
      </c>
      <c r="AJ35" s="113">
        <v>3.0000000000000001E-3</v>
      </c>
      <c r="AK35" s="113">
        <f t="shared" si="81"/>
        <v>4.0000000000000001E-3</v>
      </c>
      <c r="AM35" s="113">
        <v>1E-3</v>
      </c>
      <c r="AN35" s="113">
        <v>4.0000000000000001E-3</v>
      </c>
      <c r="AO35" s="113">
        <f t="shared" si="82"/>
        <v>5.0000000000000001E-3</v>
      </c>
      <c r="AQ35" s="113">
        <v>1E-3</v>
      </c>
      <c r="AR35" s="113">
        <v>4.0000000000000001E-3</v>
      </c>
      <c r="AS35" s="113">
        <f t="shared" si="83"/>
        <v>5.0000000000000001E-3</v>
      </c>
    </row>
    <row r="36" spans="2:45" x14ac:dyDescent="0.25">
      <c r="B36" s="35"/>
      <c r="H36" s="91" t="s">
        <v>57</v>
      </c>
      <c r="I36" s="115" t="str">
        <f>VLOOKUP($H36,'0. Control Panel'!$B$20:$D$55,2,FALSE)</f>
        <v>Implementation of New Software</v>
      </c>
      <c r="J36" s="116">
        <f>INDEX('4. Implementation Costs'!$H$37:$J$49,MATCH('6. MDM ROI &amp; NPV'!$I$6,'4. Implementation Costs'!$H$37:$H$49,0),MATCH(J$32,'4. Implementation Costs'!$H$37:$J$37,0))</f>
        <v>-234495.00000000003</v>
      </c>
      <c r="K36" s="116">
        <f>INDEX('4. Implementation Costs'!$H$37:$J$49,MATCH('6. MDM ROI &amp; NPV'!$I$6,'4. Implementation Costs'!$H$37:$H$49,0),MATCH(K$32,'4. Implementation Costs'!$H$37:$J$37,0))</f>
        <v>-450000</v>
      </c>
      <c r="L36" s="116">
        <f t="shared" si="77"/>
        <v>-684495</v>
      </c>
      <c r="N36" s="113">
        <f t="shared" si="78"/>
        <v>0.2</v>
      </c>
      <c r="O36" s="113">
        <f t="shared" si="74"/>
        <v>2.2388059701492536E-2</v>
      </c>
      <c r="P36" s="113">
        <f t="shared" si="75"/>
        <v>3.217749697672697E-2</v>
      </c>
      <c r="R36" s="113">
        <f>IFERROR(-J36/'0. Control Panel'!$I$17,0)</f>
        <v>2.5782989461184506E-3</v>
      </c>
      <c r="S36" s="113">
        <f>IFERROR(-K36/'0. Control Panel'!$I$17,0)</f>
        <v>4.9478007025876994E-3</v>
      </c>
      <c r="T36" s="113">
        <f>IFERROR(-L36/'0. Control Panel'!$I$17,0)</f>
        <v>7.5260996487061501E-3</v>
      </c>
      <c r="V36" s="114">
        <f t="shared" si="76"/>
        <v>3.0000000000000001E-3</v>
      </c>
      <c r="W36" s="114">
        <f t="shared" si="76"/>
        <v>0.02</v>
      </c>
      <c r="X36" s="114">
        <f t="shared" si="76"/>
        <v>2.3E-2</v>
      </c>
      <c r="Z36" s="115" t="str">
        <f>VLOOKUP($H36,'0. Control Panel'!$B$20:$D$55,2,FALSE)</f>
        <v>Implementation of New Software</v>
      </c>
      <c r="AA36" s="113">
        <v>5.0000000000000001E-3</v>
      </c>
      <c r="AB36" s="113">
        <v>1.4999999999999999E-2</v>
      </c>
      <c r="AC36" s="113">
        <f t="shared" si="79"/>
        <v>0.02</v>
      </c>
      <c r="AE36" s="113">
        <v>4.0000000000000001E-3</v>
      </c>
      <c r="AF36" s="113">
        <v>1.2E-2</v>
      </c>
      <c r="AG36" s="113">
        <f t="shared" si="80"/>
        <v>1.6E-2</v>
      </c>
      <c r="AI36" s="113">
        <v>2E-3</v>
      </c>
      <c r="AJ36" s="113">
        <v>8.0000000000000002E-3</v>
      </c>
      <c r="AK36" s="113">
        <f t="shared" si="81"/>
        <v>0.01</v>
      </c>
      <c r="AM36" s="113">
        <v>4.0000000000000001E-3</v>
      </c>
      <c r="AN36" s="113">
        <v>1.4999999999999999E-2</v>
      </c>
      <c r="AO36" s="113">
        <f t="shared" si="82"/>
        <v>1.9E-2</v>
      </c>
      <c r="AQ36" s="113">
        <v>3.0000000000000001E-3</v>
      </c>
      <c r="AR36" s="113">
        <v>0.02</v>
      </c>
      <c r="AS36" s="113">
        <f t="shared" si="83"/>
        <v>2.3E-2</v>
      </c>
    </row>
    <row r="37" spans="2:45" x14ac:dyDescent="0.25">
      <c r="B37" s="35"/>
      <c r="H37" s="91" t="s">
        <v>58</v>
      </c>
      <c r="I37" s="115" t="str">
        <f>VLOOKUP($H37,'0. Control Panel'!$B$20:$D$55,2,FALSE)</f>
        <v>New Hardware/Infrastructure</v>
      </c>
      <c r="J37" s="116">
        <f>INDEX('4. Implementation Costs'!$C$54:$E$66,MATCH('6. MDM ROI &amp; NPV'!$I$6,'4. Implementation Costs'!$C$54:$C$66,0),MATCH(J$32,'4. Implementation Costs'!$C$54:$E$54,0))</f>
        <v>-586237.5</v>
      </c>
      <c r="K37" s="116">
        <f>INDEX('4. Implementation Costs'!$C$54:$E$66,MATCH('6. MDM ROI &amp; NPV'!$I$6,'4. Implementation Costs'!$C$54:$C$66,0),MATCH(K$32,'4. Implementation Costs'!$C$54:$E$54,0))</f>
        <v>-6850000</v>
      </c>
      <c r="L37" s="116">
        <f t="shared" si="77"/>
        <v>-7436237.5</v>
      </c>
      <c r="N37" s="113">
        <f t="shared" si="78"/>
        <v>0.5</v>
      </c>
      <c r="O37" s="113">
        <f t="shared" si="74"/>
        <v>0.34079601990049752</v>
      </c>
      <c r="P37" s="113">
        <f t="shared" si="75"/>
        <v>0.34957086563740231</v>
      </c>
      <c r="R37" s="113">
        <f>IFERROR(-J37/'0. Control Panel'!$I$17,0)</f>
        <v>6.4457473652961257E-3</v>
      </c>
      <c r="S37" s="113">
        <f>IFERROR(-K37/'0. Control Panel'!$I$17,0)</f>
        <v>7.5316521806057204E-2</v>
      </c>
      <c r="T37" s="113">
        <f>IFERROR(-L37/'0. Control Panel'!$I$17,0)</f>
        <v>8.1762269171353333E-2</v>
      </c>
      <c r="V37" s="114">
        <f t="shared" si="76"/>
        <v>3.0000000000000001E-3</v>
      </c>
      <c r="W37" s="114">
        <f t="shared" si="76"/>
        <v>0.08</v>
      </c>
      <c r="X37" s="114">
        <f t="shared" si="76"/>
        <v>8.3000000000000004E-2</v>
      </c>
      <c r="Z37" s="115" t="str">
        <f>VLOOKUP($H37,'0. Control Panel'!$B$20:$D$55,2,FALSE)</f>
        <v>New Hardware/Infrastructure</v>
      </c>
      <c r="AA37" s="113">
        <v>6.0000000000000001E-3</v>
      </c>
      <c r="AB37" s="113">
        <v>0.08</v>
      </c>
      <c r="AC37" s="113">
        <f t="shared" si="79"/>
        <v>8.6000000000000007E-2</v>
      </c>
      <c r="AE37" s="113">
        <v>8.0000000000000002E-3</v>
      </c>
      <c r="AF37" s="113">
        <v>0.09</v>
      </c>
      <c r="AG37" s="113">
        <f t="shared" si="80"/>
        <v>9.8000000000000004E-2</v>
      </c>
      <c r="AI37" s="113">
        <v>4.0000000000000001E-3</v>
      </c>
      <c r="AJ37" s="113">
        <v>0.08</v>
      </c>
      <c r="AK37" s="113">
        <f t="shared" si="81"/>
        <v>8.4000000000000005E-2</v>
      </c>
      <c r="AM37" s="113">
        <v>8.9999999999999993E-3</v>
      </c>
      <c r="AN37" s="113">
        <v>7.4999999999999997E-2</v>
      </c>
      <c r="AO37" s="113">
        <f t="shared" si="82"/>
        <v>8.3999999999999991E-2</v>
      </c>
      <c r="AQ37" s="113">
        <v>3.0000000000000001E-3</v>
      </c>
      <c r="AR37" s="113">
        <v>0.08</v>
      </c>
      <c r="AS37" s="113">
        <f t="shared" si="83"/>
        <v>8.3000000000000004E-2</v>
      </c>
    </row>
    <row r="38" spans="2:45" x14ac:dyDescent="0.25">
      <c r="B38" s="35"/>
      <c r="H38" s="91" t="s">
        <v>59</v>
      </c>
      <c r="I38" s="115" t="str">
        <f>VLOOKUP($H38,'0. Control Panel'!$B$20:$D$55,2,FALSE)</f>
        <v>Training/Change Management</v>
      </c>
      <c r="J38" s="116">
        <f>INDEX('4. Implementation Costs'!$C$71:$E$83,MATCH($I$6,'4. Implementation Costs'!$C$71:$C$83,0),MATCH(J$32,'4. Implementation Costs'!$C$71:$F$71,0))</f>
        <v>-58623.750000000007</v>
      </c>
      <c r="K38" s="116">
        <f>INDEX('4. Implementation Costs'!$C$71:$E$83,MATCH($I$6,'4. Implementation Costs'!$C$71:$C$83,0),MATCH(K$32,'4. Implementation Costs'!$C$71:$F$71,0))</f>
        <v>-5690000</v>
      </c>
      <c r="L38" s="116">
        <f t="shared" si="77"/>
        <v>-5748623.75</v>
      </c>
      <c r="N38" s="113">
        <f t="shared" si="78"/>
        <v>0.05</v>
      </c>
      <c r="O38" s="113">
        <f t="shared" si="74"/>
        <v>0.28308457711442786</v>
      </c>
      <c r="P38" s="113">
        <f t="shared" si="75"/>
        <v>0.27023765452774068</v>
      </c>
      <c r="R38" s="113">
        <f>IFERROR(-J38/'0. Control Panel'!$I$17,0)</f>
        <v>6.4457473652961266E-4</v>
      </c>
      <c r="S38" s="113">
        <f>IFERROR(-K38/'0. Control Panel'!$I$17,0)</f>
        <v>6.2562191106053364E-2</v>
      </c>
      <c r="T38" s="113">
        <f>IFERROR(-L38/'0. Control Panel'!$I$17,0)</f>
        <v>6.3206765842582974E-2</v>
      </c>
      <c r="V38" s="114">
        <f t="shared" si="76"/>
        <v>2E-3</v>
      </c>
      <c r="W38" s="114">
        <f t="shared" si="76"/>
        <v>5.5E-2</v>
      </c>
      <c r="X38" s="114">
        <f t="shared" si="76"/>
        <v>5.7000000000000002E-2</v>
      </c>
      <c r="Z38" s="115" t="str">
        <f>VLOOKUP($H38,'0. Control Panel'!$B$20:$D$55,2,FALSE)</f>
        <v>Training/Change Management</v>
      </c>
      <c r="AA38" s="113">
        <v>2E-3</v>
      </c>
      <c r="AB38" s="113">
        <v>3.5000000000000003E-2</v>
      </c>
      <c r="AC38" s="113">
        <f t="shared" si="79"/>
        <v>3.7000000000000005E-2</v>
      </c>
      <c r="AE38" s="113">
        <v>3.0000000000000001E-3</v>
      </c>
      <c r="AF38" s="113">
        <v>5.5E-2</v>
      </c>
      <c r="AG38" s="113">
        <f t="shared" si="80"/>
        <v>5.8000000000000003E-2</v>
      </c>
      <c r="AI38" s="113">
        <v>1E-3</v>
      </c>
      <c r="AJ38" s="113">
        <v>0.04</v>
      </c>
      <c r="AK38" s="113">
        <f t="shared" si="81"/>
        <v>4.1000000000000002E-2</v>
      </c>
      <c r="AM38" s="113">
        <v>3.0000000000000001E-3</v>
      </c>
      <c r="AN38" s="113">
        <v>0.06</v>
      </c>
      <c r="AO38" s="113">
        <f t="shared" si="82"/>
        <v>6.3E-2</v>
      </c>
      <c r="AQ38" s="113">
        <v>2E-3</v>
      </c>
      <c r="AR38" s="113">
        <v>5.5E-2</v>
      </c>
      <c r="AS38" s="113">
        <f>SUM(AQ38:AR38)</f>
        <v>5.7000000000000002E-2</v>
      </c>
    </row>
    <row r="39" spans="2:45" x14ac:dyDescent="0.25">
      <c r="B39" s="35"/>
      <c r="H39" s="91" t="s">
        <v>60</v>
      </c>
      <c r="I39" s="129" t="str">
        <f>VLOOKUP($H39,'0. Control Panel'!$B$20:$D$55,2,FALSE)</f>
        <v>Other (travel, administrative)</v>
      </c>
      <c r="J39" s="120">
        <f>INDEX('4. Implementation Costs'!$H$71:$J$83,MATCH('6. MDM ROI &amp; NPV'!$I$6,'4. Implementation Costs'!$H$71:$H$83,0),MATCH(J$32,'4. Implementation Costs'!$H$71:$J$71,0))</f>
        <v>0</v>
      </c>
      <c r="K39" s="120">
        <f>INDEX('4. Implementation Costs'!$H$71:$J$83,MATCH('6. MDM ROI &amp; NPV'!$I$6,'4. Implementation Costs'!$H$71:$H$83,0),MATCH(K$32,'4. Implementation Costs'!$H$71:$J$71,0))</f>
        <v>-250000</v>
      </c>
      <c r="L39" s="120">
        <f t="shared" si="77"/>
        <v>-250000</v>
      </c>
      <c r="N39" s="113">
        <f t="shared" si="78"/>
        <v>0</v>
      </c>
      <c r="O39" s="113">
        <f t="shared" si="74"/>
        <v>1.2437810945273632E-2</v>
      </c>
      <c r="P39" s="113">
        <f t="shared" si="75"/>
        <v>1.1752276122077944E-2</v>
      </c>
      <c r="R39" s="113">
        <f>IFERROR(-J39/'0. Control Panel'!$I$17,0)</f>
        <v>0</v>
      </c>
      <c r="S39" s="113">
        <f>IFERROR(-K39/'0. Control Panel'!$I$17,0)</f>
        <v>2.7487781681042778E-3</v>
      </c>
      <c r="T39" s="113">
        <f>IFERROR(-L39/'0. Control Panel'!$I$17,0)</f>
        <v>2.7487781681042778E-3</v>
      </c>
      <c r="V39" s="114">
        <f t="shared" si="76"/>
        <v>0</v>
      </c>
      <c r="W39" s="114">
        <f t="shared" si="76"/>
        <v>3.0000000000000001E-3</v>
      </c>
      <c r="X39" s="114">
        <f t="shared" si="76"/>
        <v>3.0000000000000001E-3</v>
      </c>
      <c r="Z39" s="129" t="str">
        <f>VLOOKUP($H39,'0. Control Panel'!$B$20:$D$55,2,FALSE)</f>
        <v>Other (travel, administrative)</v>
      </c>
      <c r="AA39" s="113">
        <v>0</v>
      </c>
      <c r="AB39" s="113">
        <v>3.0000000000000001E-3</v>
      </c>
      <c r="AC39" s="113">
        <f t="shared" si="79"/>
        <v>3.0000000000000001E-3</v>
      </c>
      <c r="AE39" s="113">
        <v>0</v>
      </c>
      <c r="AF39" s="113">
        <v>3.0000000000000001E-3</v>
      </c>
      <c r="AG39" s="113">
        <f t="shared" si="80"/>
        <v>3.0000000000000001E-3</v>
      </c>
      <c r="AI39" s="113">
        <v>0</v>
      </c>
      <c r="AJ39" s="113">
        <v>3.0000000000000001E-3</v>
      </c>
      <c r="AK39" s="113">
        <f t="shared" si="81"/>
        <v>3.0000000000000001E-3</v>
      </c>
      <c r="AM39" s="113">
        <v>0</v>
      </c>
      <c r="AN39" s="113">
        <v>3.0000000000000001E-3</v>
      </c>
      <c r="AO39" s="113">
        <f t="shared" si="82"/>
        <v>3.0000000000000001E-3</v>
      </c>
      <c r="AQ39" s="113">
        <v>0</v>
      </c>
      <c r="AR39" s="113">
        <v>3.0000000000000001E-3</v>
      </c>
      <c r="AS39" s="113">
        <f t="shared" si="83"/>
        <v>3.0000000000000001E-3</v>
      </c>
    </row>
    <row r="40" spans="2:45" x14ac:dyDescent="0.25">
      <c r="B40" s="35"/>
      <c r="H40" s="91" t="s">
        <v>172</v>
      </c>
      <c r="I40" s="129" t="str">
        <f>VLOOKUP($H40,'0. Control Panel'!$B$20:$D$56,2,FALSE)</f>
        <v>SI Cost</v>
      </c>
      <c r="J40" s="116">
        <f>INDEX('4. Implementation Costs'!$C$87:$E$99,MATCH($I$6,'4. Implementation Costs'!$C$87:$C$99,0),MATCH(J$32,'4. Implementation Costs'!$C$87:$F$87,0))</f>
        <v>0</v>
      </c>
      <c r="K40" s="116">
        <f>INDEX('4. Implementation Costs'!$C$87:$E$99,MATCH($I$6,'4. Implementation Costs'!$C$87:$C$99,0),MATCH(K$32,'4. Implementation Costs'!$C$87:$F$87,0))</f>
        <v>-5900000</v>
      </c>
      <c r="L40" s="120">
        <f>SUM(J40:K40)</f>
        <v>-5900000</v>
      </c>
      <c r="N40" s="113">
        <f t="shared" si="78"/>
        <v>0</v>
      </c>
      <c r="O40" s="113">
        <f t="shared" si="74"/>
        <v>0.29353233830845771</v>
      </c>
      <c r="P40" s="113">
        <f t="shared" si="75"/>
        <v>0.27735371648103946</v>
      </c>
      <c r="R40" s="113">
        <f>IFERROR(-J40/'0. Control Panel'!$I$17,0)</f>
        <v>0</v>
      </c>
      <c r="S40" s="113">
        <f>IFERROR(-K40/'0. Control Panel'!$I$17,0)</f>
        <v>6.4871164767260958E-2</v>
      </c>
      <c r="T40" s="113">
        <f>IFERROR(-L40/'0. Control Panel'!$I$17,0)</f>
        <v>6.4871164767260958E-2</v>
      </c>
      <c r="V40" s="114">
        <f t="shared" si="76"/>
        <v>0</v>
      </c>
      <c r="W40" s="114">
        <f t="shared" si="76"/>
        <v>3.5000000000000003E-2</v>
      </c>
      <c r="X40" s="114">
        <f t="shared" si="76"/>
        <v>3.5000000000000003E-2</v>
      </c>
      <c r="Z40" s="129" t="str">
        <f>VLOOKUP($H40,'0. Control Panel'!$B$20:$D$56,2,FALSE)</f>
        <v>SI Cost</v>
      </c>
      <c r="AA40" s="113">
        <v>0</v>
      </c>
      <c r="AB40" s="113">
        <v>5.5E-2</v>
      </c>
      <c r="AC40" s="113">
        <f t="shared" si="79"/>
        <v>5.5E-2</v>
      </c>
      <c r="AE40" s="113">
        <v>0</v>
      </c>
      <c r="AF40" s="113">
        <v>4.4999999999999998E-2</v>
      </c>
      <c r="AG40" s="113">
        <f t="shared" si="80"/>
        <v>4.4999999999999998E-2</v>
      </c>
      <c r="AI40" s="113">
        <v>0</v>
      </c>
      <c r="AJ40" s="113">
        <v>4.4999999999999998E-2</v>
      </c>
      <c r="AK40" s="113">
        <f t="shared" si="81"/>
        <v>4.4999999999999998E-2</v>
      </c>
      <c r="AM40" s="113">
        <v>0</v>
      </c>
      <c r="AN40" s="113">
        <v>2.5000000000000001E-2</v>
      </c>
      <c r="AO40" s="113">
        <f t="shared" si="82"/>
        <v>2.5000000000000001E-2</v>
      </c>
      <c r="AQ40" s="113">
        <v>0</v>
      </c>
      <c r="AR40" s="113">
        <v>3.5000000000000003E-2</v>
      </c>
      <c r="AS40" s="113">
        <f t="shared" si="83"/>
        <v>3.5000000000000003E-2</v>
      </c>
    </row>
    <row r="41" spans="2:45" ht="16.5" thickBot="1" x14ac:dyDescent="0.3">
      <c r="B41" s="35"/>
      <c r="I41" s="145" t="s">
        <v>77</v>
      </c>
      <c r="J41" s="146">
        <f>SUM(J33:J40)</f>
        <v>-1172475</v>
      </c>
      <c r="K41" s="146">
        <f t="shared" ref="K41:L41" si="84">SUM(K33:K40)</f>
        <v>-20100000</v>
      </c>
      <c r="L41" s="146">
        <f t="shared" si="84"/>
        <v>-21272475</v>
      </c>
      <c r="N41" s="147">
        <f t="shared" ref="N41" si="85">IFERROR(J41/J$41,0)</f>
        <v>1</v>
      </c>
      <c r="O41" s="147">
        <f t="shared" ref="O41" si="86">IFERROR(K41/K$41,0)</f>
        <v>1</v>
      </c>
      <c r="P41" s="147">
        <f t="shared" ref="P41" si="87">IFERROR(L41/L$41,0)</f>
        <v>1</v>
      </c>
      <c r="R41" s="147">
        <f>IFERROR(-J41/'0. Control Panel'!$I$17,0)</f>
        <v>1.2891494730592251E-2</v>
      </c>
      <c r="S41" s="147">
        <f>IFERROR(-K41/'0. Control Panel'!$I$17,0)</f>
        <v>0.22100176471558391</v>
      </c>
      <c r="T41" s="147">
        <f>IFERROR(-L41/'0. Control Panel'!$I$17,0)</f>
        <v>0.23389325944617617</v>
      </c>
      <c r="V41" s="132">
        <f>SUM(V31:V40)</f>
        <v>1.7000000000000001E-2</v>
      </c>
      <c r="W41" s="132">
        <f t="shared" ref="W41" si="88">SUM(W31:W40)</f>
        <v>0.21199999999999999</v>
      </c>
      <c r="X41" s="132">
        <f t="shared" ref="X41" si="89">SUM(X31:X40)</f>
        <v>0.22900000000000001</v>
      </c>
      <c r="AA41" s="147">
        <f>SUM(AA33:AA40)</f>
        <v>2.0000000000000004E-2</v>
      </c>
      <c r="AB41" s="147">
        <f t="shared" ref="AB41:AC41" si="90">SUM(AB33:AB40)</f>
        <v>0.20300000000000001</v>
      </c>
      <c r="AC41" s="147">
        <f t="shared" si="90"/>
        <v>0.223</v>
      </c>
      <c r="AE41" s="147">
        <f>SUM(AE33:AE40)</f>
        <v>0.02</v>
      </c>
      <c r="AF41" s="147">
        <f t="shared" ref="AF41" si="91">SUM(AF33:AF40)</f>
        <v>0.21499999999999997</v>
      </c>
      <c r="AG41" s="147">
        <f t="shared" ref="AG41" si="92">SUM(AG33:AG40)</f>
        <v>0.23499999999999999</v>
      </c>
      <c r="AI41" s="147">
        <f>SUM(AI33:AI40)</f>
        <v>1.0000000000000002E-2</v>
      </c>
      <c r="AJ41" s="147">
        <f t="shared" ref="AJ41" si="93">SUM(AJ33:AJ40)</f>
        <v>0.182</v>
      </c>
      <c r="AK41" s="147">
        <f t="shared" ref="AK41" si="94">SUM(AK33:AK40)</f>
        <v>0.192</v>
      </c>
      <c r="AM41" s="147">
        <f>SUM(AM33:AM40)</f>
        <v>2.1000000000000001E-2</v>
      </c>
      <c r="AN41" s="147">
        <f t="shared" ref="AN41" si="95">SUM(AN33:AN40)</f>
        <v>0.188</v>
      </c>
      <c r="AO41" s="147">
        <f t="shared" ref="AO41" si="96">SUM(AO33:AO40)</f>
        <v>0.20899999999999999</v>
      </c>
      <c r="AQ41" s="147">
        <f>SUM(AQ33:AQ40)</f>
        <v>1.7000000000000001E-2</v>
      </c>
      <c r="AR41" s="147">
        <f t="shared" ref="AR41" si="97">SUM(AR33:AR40)</f>
        <v>0.21199999999999999</v>
      </c>
      <c r="AS41" s="147">
        <f t="shared" ref="AS41" si="98">SUM(AS33:AS40)</f>
        <v>0.22900000000000001</v>
      </c>
    </row>
    <row r="42" spans="2:45" ht="16.5" thickTop="1" x14ac:dyDescent="0.25">
      <c r="B42" s="35"/>
      <c r="J42" s="71"/>
      <c r="K42" s="71"/>
      <c r="L42" s="71"/>
    </row>
    <row r="43" spans="2:45" x14ac:dyDescent="0.25">
      <c r="B43" s="121"/>
    </row>
  </sheetData>
  <sheetProtection algorithmName="SHA-512" hashValue="MexZ3VHXne4Js3hsvAUdwBDKIj0N2x+v3H4Fitt1dJPa1xjmPcyfrcYpaIXRniofv+8kEeCsj+mqq6SmsnoVyw==" saltValue="5WhNSjVrcst05ur60iECgQ==" spinCount="100000" sheet="1" objects="1" scenarios="1" selectLockedCells="1" selectUnlockedCells="1"/>
  <mergeCells count="13">
    <mergeCell ref="V3:X3"/>
    <mergeCell ref="AI4:AK4"/>
    <mergeCell ref="AI5:AK5"/>
    <mergeCell ref="AM4:AO4"/>
    <mergeCell ref="AM5:AO5"/>
    <mergeCell ref="AQ4:AS4"/>
    <mergeCell ref="AQ5:AS5"/>
    <mergeCell ref="V4:X4"/>
    <mergeCell ref="V5:X5"/>
    <mergeCell ref="AA4:AC4"/>
    <mergeCell ref="AA5:AC5"/>
    <mergeCell ref="AE4:AG4"/>
    <mergeCell ref="AE5:AG5"/>
  </mergeCells>
  <dataValidations count="1">
    <dataValidation type="list" allowBlank="1" showInputMessage="1" showErrorMessage="1" sqref="V4:X4">
      <formula1>$AU$6:$AU$11</formula1>
    </dataValidation>
  </dataValidations>
  <pageMargins left="0.7" right="0.7" top="0.75" bottom="0.75" header="0.3" footer="0.3"/>
  <pageSetup paperSize="9" orientation="portrait" horizontalDpi="0" verticalDpi="0"/>
  <ignoredErrors>
    <ignoredError sqref="D15:F15" evalError="1"/>
  </ignoredErrors>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'2.1 Customer Benefit Output'!$D$8:$D$18</xm:f>
          </x14:formula1>
          <xm:sqref>I6</xm:sqref>
        </x14:dataValidation>
        <x14:dataValidation type="list" allowBlank="1" showInputMessage="1" showErrorMessage="1">
          <x14:formula1>
            <xm:f>'0. Control Panel'!$C$44:$C$46</xm:f>
          </x14:formula1>
          <xm:sqref>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63"/>
  <sheetViews>
    <sheetView showGridLines="0" topLeftCell="A54" workbookViewId="0">
      <selection activeCell="G10" sqref="G10:H10"/>
    </sheetView>
  </sheetViews>
  <sheetFormatPr defaultColWidth="10.875" defaultRowHeight="15.75" x14ac:dyDescent="0.25"/>
  <cols>
    <col min="1" max="1" width="10.875" style="35"/>
    <col min="2" max="2" width="29.875" style="35" bestFit="1" customWidth="1"/>
    <col min="3" max="16384" width="10.875" style="35"/>
  </cols>
  <sheetData>
    <row r="2" spans="2:9" ht="23.25" x14ac:dyDescent="0.35">
      <c r="B2" s="36" t="s">
        <v>87</v>
      </c>
      <c r="C2" s="37"/>
      <c r="D2" s="37"/>
      <c r="E2" s="37"/>
      <c r="F2" s="37"/>
      <c r="G2" s="37"/>
      <c r="H2" s="37"/>
      <c r="I2" s="37"/>
    </row>
    <row r="4" spans="2:9" x14ac:dyDescent="0.25">
      <c r="B4" s="38" t="s">
        <v>89</v>
      </c>
      <c r="C4" s="35" t="str">
        <f>"= Data Input: Please fill in relevant data into yellow cells"</f>
        <v>= Data Input: Please fill in relevant data into yellow cells</v>
      </c>
    </row>
    <row r="6" spans="2:9" x14ac:dyDescent="0.25">
      <c r="B6" s="39" t="s">
        <v>4</v>
      </c>
      <c r="C6" s="35" t="str">
        <f>"= Scenario Options: Please choose relevant scenario from drop down box"</f>
        <v>= Scenario Options: Please choose relevant scenario from drop down box</v>
      </c>
    </row>
    <row r="8" spans="2:9" x14ac:dyDescent="0.25">
      <c r="B8" s="40" t="s">
        <v>131</v>
      </c>
      <c r="C8" s="35" t="str">
        <f>"= Business Area Options: Please choose relevant business area from drop down box"</f>
        <v>= Business Area Options: Please choose relevant business area from drop down box</v>
      </c>
    </row>
    <row r="10" spans="2:9" ht="23.25" x14ac:dyDescent="0.35">
      <c r="B10" s="36" t="s">
        <v>88</v>
      </c>
      <c r="C10" s="41"/>
      <c r="D10" s="37"/>
      <c r="E10" s="37"/>
      <c r="F10" s="37"/>
      <c r="G10" s="37"/>
      <c r="H10" s="37"/>
      <c r="I10" s="37"/>
    </row>
    <row r="12" spans="2:9" ht="18.75" x14ac:dyDescent="0.3">
      <c r="B12" s="42" t="s">
        <v>90</v>
      </c>
      <c r="C12" s="322" t="s">
        <v>91</v>
      </c>
      <c r="D12" s="322"/>
      <c r="E12" s="322"/>
      <c r="F12" s="322"/>
      <c r="G12" s="322"/>
      <c r="H12" s="322"/>
      <c r="I12" s="322"/>
    </row>
    <row r="13" spans="2:9" ht="141" customHeight="1" x14ac:dyDescent="0.25">
      <c r="B13" s="43" t="s">
        <v>106</v>
      </c>
      <c r="C13" s="321" t="s">
        <v>93</v>
      </c>
      <c r="D13" s="321"/>
      <c r="E13" s="321"/>
      <c r="F13" s="321"/>
      <c r="G13" s="321"/>
      <c r="H13" s="321"/>
      <c r="I13" s="321"/>
    </row>
    <row r="15" spans="2:9" ht="35.1" customHeight="1" x14ac:dyDescent="0.25">
      <c r="B15" s="44" t="s">
        <v>94</v>
      </c>
      <c r="C15" s="322" t="s">
        <v>95</v>
      </c>
      <c r="D15" s="322"/>
      <c r="E15" s="322"/>
      <c r="F15" s="322"/>
      <c r="G15" s="322"/>
      <c r="H15" s="322"/>
      <c r="I15" s="322"/>
    </row>
    <row r="16" spans="2:9" x14ac:dyDescent="0.25">
      <c r="B16" s="43" t="s">
        <v>106</v>
      </c>
      <c r="C16" s="35" t="str">
        <f>"- Your FTE by business area will be automitailly provided through Your assumptions in the control panel."</f>
        <v>- Your FTE by business area will be automitailly provided through Your assumptions in the control panel.</v>
      </c>
    </row>
    <row r="17" spans="2:3" x14ac:dyDescent="0.25">
      <c r="C17" s="35" t="str">
        <f>"- Input how many of the divisions areas are currently associated with the customer &amp; product benefit areas"</f>
        <v>- Input how many of the divisions areas are currently associated with the customer &amp; product benefit areas</v>
      </c>
    </row>
    <row r="18" spans="2:3" x14ac:dyDescent="0.25">
      <c r="C18" s="35" t="str">
        <f>"- Input how much of the selected FTE's working day is spent on each task through a % value"</f>
        <v>- Input how much of the selected FTE's working day is spent on each task through a % value</v>
      </c>
    </row>
    <row r="19" spans="2:3" x14ac:dyDescent="0.25">
      <c r="C19" s="35" t="str">
        <f>"- There is an automatic error check built in, please make sure all boxes on the right hand side are green as well as each % tally to 100%"</f>
        <v>- There is an automatic error check built in, please make sure all boxes on the right hand side are green as well as each % tally to 100%</v>
      </c>
    </row>
    <row r="21" spans="2:3" ht="18.75" x14ac:dyDescent="0.25">
      <c r="B21" s="44" t="s">
        <v>132</v>
      </c>
      <c r="C21" s="45" t="s">
        <v>96</v>
      </c>
    </row>
    <row r="22" spans="2:3" x14ac:dyDescent="0.25">
      <c r="B22" s="43" t="s">
        <v>106</v>
      </c>
      <c r="C22" s="35" t="s">
        <v>133</v>
      </c>
    </row>
    <row r="23" spans="2:3" x14ac:dyDescent="0.25">
      <c r="C23" s="35" t="str">
        <f>"- Change in FTE by Customer Benefit &amp; Business Area for each scenario"</f>
        <v>- Change in FTE by Customer Benefit &amp; Business Area for each scenario</v>
      </c>
    </row>
    <row r="24" spans="2:3" x14ac:dyDescent="0.25">
      <c r="C24" s="35" t="str">
        <f>"- Change in % Time spent on task by Customer Benefit &amp; Business Area for each scenario"</f>
        <v>- Change in % Time spent on task by Customer Benefit &amp; Business Area for each scenario</v>
      </c>
    </row>
    <row r="25" spans="2:3" x14ac:dyDescent="0.25">
      <c r="C25" s="35" t="str">
        <f>"- Expected changes in revenue due to MDM implementation by Customer Benefit &amp; Business area for each scenario"</f>
        <v>- Expected changes in revenue due to MDM implementation by Customer Benefit &amp; Business area for each scenario</v>
      </c>
    </row>
    <row r="27" spans="2:3" ht="18.75" x14ac:dyDescent="0.25">
      <c r="B27" s="44" t="s">
        <v>98</v>
      </c>
      <c r="C27" s="45" t="s">
        <v>97</v>
      </c>
    </row>
    <row r="28" spans="2:3" x14ac:dyDescent="0.25">
      <c r="B28" s="43" t="s">
        <v>106</v>
      </c>
      <c r="C28" s="35" t="s">
        <v>133</v>
      </c>
    </row>
    <row r="29" spans="2:3" x14ac:dyDescent="0.25">
      <c r="C29" s="35" t="str">
        <f>"- Change in FTE by Product Benefit &amp; Business Area for each scenario"</f>
        <v>- Change in FTE by Product Benefit &amp; Business Area for each scenario</v>
      </c>
    </row>
    <row r="30" spans="2:3" x14ac:dyDescent="0.25">
      <c r="C30" s="35" t="str">
        <f>"- Change in % Time spent on task by Product Benefit &amp; Business Area for each scenario"</f>
        <v>- Change in % Time spent on task by Product Benefit &amp; Business Area for each scenario</v>
      </c>
    </row>
    <row r="31" spans="2:3" x14ac:dyDescent="0.25">
      <c r="C31" s="35" t="str">
        <f>"- Expected changes in revenue due to MDM implementation by Product Benefit &amp; Business area for each scenario"</f>
        <v>- Expected changes in revenue due to MDM implementation by Product Benefit &amp; Business area for each scenario</v>
      </c>
    </row>
    <row r="33" spans="2:3" ht="18.75" x14ac:dyDescent="0.25">
      <c r="B33" s="44" t="s">
        <v>99</v>
      </c>
      <c r="C33" s="45" t="s">
        <v>134</v>
      </c>
    </row>
    <row r="34" spans="2:3" x14ac:dyDescent="0.25">
      <c r="B34" s="43" t="s">
        <v>106</v>
      </c>
      <c r="C34" s="35" t="s">
        <v>100</v>
      </c>
    </row>
    <row r="35" spans="2:3" x14ac:dyDescent="0.25">
      <c r="C35" s="35" t="str">
        <f>"- Application Liscenses"</f>
        <v>- Application Liscenses</v>
      </c>
    </row>
    <row r="36" spans="2:3" x14ac:dyDescent="0.25">
      <c r="C36" s="35" t="str">
        <f>"- Annual Maitenance"</f>
        <v>- Annual Maitenance</v>
      </c>
    </row>
    <row r="37" spans="2:3" x14ac:dyDescent="0.25">
      <c r="C37" s="35" t="str">
        <f>"- Impementation of Exisiting Software"</f>
        <v>- Impementation of Exisiting Software</v>
      </c>
    </row>
    <row r="38" spans="2:3" x14ac:dyDescent="0.25">
      <c r="C38" s="35" t="str">
        <f>"- Implementation of New Software"</f>
        <v>- Implementation of New Software</v>
      </c>
    </row>
    <row r="39" spans="2:3" x14ac:dyDescent="0.25">
      <c r="C39" s="35" t="str">
        <f>"- New Hardware/Infrastructure"</f>
        <v>- New Hardware/Infrastructure</v>
      </c>
    </row>
    <row r="40" spans="2:3" x14ac:dyDescent="0.25">
      <c r="C40" s="35" t="str">
        <f>"- Training/Change Management"</f>
        <v>- Training/Change Management</v>
      </c>
    </row>
    <row r="41" spans="2:3" x14ac:dyDescent="0.25">
      <c r="C41" s="35" t="str">
        <f>"- Other (travel, administrative)"</f>
        <v>- Other (travel, administrative)</v>
      </c>
    </row>
    <row r="43" spans="2:3" ht="18.75" x14ac:dyDescent="0.25">
      <c r="B43" s="44" t="s">
        <v>101</v>
      </c>
      <c r="C43" s="45" t="s">
        <v>102</v>
      </c>
    </row>
    <row r="44" spans="2:3" x14ac:dyDescent="0.25">
      <c r="B44" s="46" t="s">
        <v>107</v>
      </c>
      <c r="C44" s="35" t="s">
        <v>103</v>
      </c>
    </row>
    <row r="45" spans="2:3" x14ac:dyDescent="0.25">
      <c r="C45" s="35" t="s">
        <v>104</v>
      </c>
    </row>
    <row r="46" spans="2:3" x14ac:dyDescent="0.25">
      <c r="C46" s="35" t="str">
        <f>"- Reduced Costs through FTE reductions"</f>
        <v>- Reduced Costs through FTE reductions</v>
      </c>
    </row>
    <row r="47" spans="2:3" x14ac:dyDescent="0.25">
      <c r="C47" s="35" t="str">
        <f>"- Reduced Costs through reduced time required per FTE"</f>
        <v>- Reduced Costs through reduced time required per FTE</v>
      </c>
    </row>
    <row r="48" spans="2:3" x14ac:dyDescent="0.25">
      <c r="C48" s="35" t="str">
        <f>"- Increased Revenue due to process efficiencies"</f>
        <v>- Increased Revenue due to process efficiencies</v>
      </c>
    </row>
    <row r="49" spans="2:13" x14ac:dyDescent="0.25">
      <c r="C49" s="35" t="s">
        <v>105</v>
      </c>
    </row>
    <row r="50" spans="2:13" x14ac:dyDescent="0.25">
      <c r="C50" s="35" t="str">
        <f>"- One-off implementation charges"</f>
        <v>- One-off implementation charges</v>
      </c>
    </row>
    <row r="51" spans="2:13" x14ac:dyDescent="0.25">
      <c r="C51" s="35" t="str">
        <f>"- Annual MDM charges"</f>
        <v>- Annual MDM charges</v>
      </c>
    </row>
    <row r="53" spans="2:13" ht="18.75" x14ac:dyDescent="0.25">
      <c r="B53" s="44" t="s">
        <v>108</v>
      </c>
      <c r="C53" s="45" t="s">
        <v>135</v>
      </c>
    </row>
    <row r="54" spans="2:13" x14ac:dyDescent="0.25">
      <c r="B54" s="46" t="s">
        <v>107</v>
      </c>
      <c r="C54" s="35" t="s">
        <v>103</v>
      </c>
    </row>
    <row r="55" spans="2:13" x14ac:dyDescent="0.25">
      <c r="C55" s="35" t="s">
        <v>109</v>
      </c>
    </row>
    <row r="56" spans="2:13" x14ac:dyDescent="0.25">
      <c r="C56" s="35" t="str">
        <f>"- IRR"</f>
        <v>- IRR</v>
      </c>
    </row>
    <row r="57" spans="2:13" x14ac:dyDescent="0.25">
      <c r="C57" s="35" t="str">
        <f>"- NPV (please note that the discount rate must be inputed to calculate NPV)"</f>
        <v>- NPV (please note that the discount rate must be inputed to calculate NPV)</v>
      </c>
    </row>
    <row r="58" spans="2:13" x14ac:dyDescent="0.25">
      <c r="C58" s="35" t="str">
        <f>"- Payback Period (if applicable)"</f>
        <v>- Payback Period (if applicable)</v>
      </c>
    </row>
    <row r="59" spans="2:13" x14ac:dyDescent="0.25">
      <c r="C59" s="35" t="str">
        <f>"- Change (#) in FTE"</f>
        <v>- Change (#) in FTE</v>
      </c>
    </row>
    <row r="60" spans="2:13" x14ac:dyDescent="0.25">
      <c r="C60" s="35" t="str">
        <f>"- Expected reduction in FTE hours from MDM implementation"</f>
        <v>- Expected reduction in FTE hours from MDM implementation</v>
      </c>
    </row>
    <row r="62" spans="2:13" ht="16.5" thickBot="1" x14ac:dyDescent="0.3">
      <c r="B62" s="47"/>
      <c r="C62" s="47"/>
      <c r="D62" s="47"/>
      <c r="E62" s="47"/>
      <c r="F62" s="47"/>
      <c r="G62" s="47"/>
      <c r="H62" s="47"/>
      <c r="I62" s="47"/>
      <c r="J62" s="47"/>
      <c r="K62" s="47"/>
      <c r="L62" s="47"/>
      <c r="M62" s="47"/>
    </row>
    <row r="63" spans="2:13" ht="16.5" thickTop="1" x14ac:dyDescent="0.25"/>
  </sheetData>
  <sheetProtection password="B16A" sheet="1" objects="1" scenarios="1"/>
  <mergeCells count="3">
    <mergeCell ref="C13:I13"/>
    <mergeCell ref="C12:I12"/>
    <mergeCell ref="C15:I1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'2.1 Customer Benefit Output'!$D$8:$D$18</xm:f>
          </x14:formula1>
          <xm:sqref>B8</xm:sqref>
        </x14:dataValidation>
        <x14:dataValidation type="list" allowBlank="1" showInputMessage="1" showErrorMessage="1">
          <x14:formula1>
            <xm:f>'0. Control Panel'!$C$44:$C$46</xm:f>
          </x14:formula1>
          <xm:sqref>B6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40"/>
  <sheetViews>
    <sheetView showGridLines="0" topLeftCell="A15" workbookViewId="0">
      <selection activeCell="G10" sqref="G10:H10"/>
    </sheetView>
  </sheetViews>
  <sheetFormatPr defaultColWidth="10.875" defaultRowHeight="15.75" x14ac:dyDescent="0.25"/>
  <cols>
    <col min="1" max="1" width="5.875" style="35" customWidth="1"/>
    <col min="2" max="2" width="4.125" style="51" bestFit="1" customWidth="1"/>
    <col min="3" max="3" width="48" style="52" bestFit="1" customWidth="1"/>
    <col min="4" max="4" width="147.625" style="88" customWidth="1"/>
    <col min="5" max="16384" width="10.875" style="35"/>
  </cols>
  <sheetData>
    <row r="2" spans="2:4" ht="29.25" thickBot="1" x14ac:dyDescent="0.3">
      <c r="B2" s="48" t="s">
        <v>156</v>
      </c>
      <c r="C2" s="49"/>
      <c r="D2" s="50"/>
    </row>
    <row r="4" spans="2:4" ht="18.75" x14ac:dyDescent="0.25">
      <c r="C4" s="44" t="s">
        <v>128</v>
      </c>
    </row>
    <row r="6" spans="2:4" ht="31.5" x14ac:dyDescent="0.25">
      <c r="B6" s="53" t="s">
        <v>12</v>
      </c>
      <c r="C6" s="54" t="s">
        <v>113</v>
      </c>
      <c r="D6" s="55" t="s">
        <v>151</v>
      </c>
    </row>
    <row r="7" spans="2:4" ht="31.5" x14ac:dyDescent="0.25">
      <c r="B7" s="56" t="s">
        <v>13</v>
      </c>
      <c r="C7" s="54" t="s">
        <v>114</v>
      </c>
      <c r="D7" s="55" t="s">
        <v>129</v>
      </c>
    </row>
    <row r="8" spans="2:4" ht="31.5" x14ac:dyDescent="0.25">
      <c r="B8" s="56" t="s">
        <v>14</v>
      </c>
      <c r="C8" s="54" t="s">
        <v>115</v>
      </c>
      <c r="D8" s="55" t="s">
        <v>149</v>
      </c>
    </row>
    <row r="9" spans="2:4" x14ac:dyDescent="0.25">
      <c r="B9" s="56" t="s">
        <v>15</v>
      </c>
      <c r="C9" s="54" t="s">
        <v>111</v>
      </c>
      <c r="D9" s="55" t="s">
        <v>150</v>
      </c>
    </row>
    <row r="10" spans="2:4" ht="31.5" x14ac:dyDescent="0.25">
      <c r="B10" s="56" t="s">
        <v>16</v>
      </c>
      <c r="C10" s="54" t="s">
        <v>116</v>
      </c>
      <c r="D10" s="55" t="s">
        <v>130</v>
      </c>
    </row>
    <row r="11" spans="2:4" ht="63" x14ac:dyDescent="0.25">
      <c r="B11" s="56" t="s">
        <v>17</v>
      </c>
      <c r="C11" s="54" t="s">
        <v>112</v>
      </c>
      <c r="D11" s="55" t="s">
        <v>122</v>
      </c>
    </row>
    <row r="12" spans="2:4" ht="31.5" x14ac:dyDescent="0.25">
      <c r="B12" s="57" t="s">
        <v>18</v>
      </c>
      <c r="C12" s="54" t="s">
        <v>152</v>
      </c>
      <c r="D12" s="55" t="s">
        <v>153</v>
      </c>
    </row>
    <row r="14" spans="2:4" ht="78.75" x14ac:dyDescent="0.25">
      <c r="B14" s="53" t="s">
        <v>22</v>
      </c>
      <c r="C14" s="54" t="s">
        <v>0</v>
      </c>
      <c r="D14" s="55" t="s">
        <v>138</v>
      </c>
    </row>
    <row r="15" spans="2:4" x14ac:dyDescent="0.25">
      <c r="B15" s="56" t="s">
        <v>23</v>
      </c>
      <c r="C15" s="54" t="s">
        <v>123</v>
      </c>
      <c r="D15" s="55" t="s">
        <v>148</v>
      </c>
    </row>
    <row r="16" spans="2:4" x14ac:dyDescent="0.25">
      <c r="B16" s="56" t="s">
        <v>24</v>
      </c>
      <c r="C16" s="54" t="s">
        <v>118</v>
      </c>
      <c r="D16" s="55" t="s">
        <v>147</v>
      </c>
    </row>
    <row r="17" spans="2:4" ht="31.5" x14ac:dyDescent="0.25">
      <c r="B17" s="56" t="s">
        <v>25</v>
      </c>
      <c r="C17" s="54" t="s">
        <v>117</v>
      </c>
      <c r="D17" s="55" t="s">
        <v>120</v>
      </c>
    </row>
    <row r="18" spans="2:4" ht="31.5" x14ac:dyDescent="0.25">
      <c r="B18" s="56" t="s">
        <v>26</v>
      </c>
      <c r="C18" s="54" t="s">
        <v>119</v>
      </c>
      <c r="D18" s="55" t="s">
        <v>121</v>
      </c>
    </row>
    <row r="19" spans="2:4" x14ac:dyDescent="0.25">
      <c r="B19" s="56" t="s">
        <v>27</v>
      </c>
      <c r="C19" s="54" t="s">
        <v>1</v>
      </c>
      <c r="D19" s="55" t="s">
        <v>146</v>
      </c>
    </row>
    <row r="20" spans="2:4" ht="31.5" x14ac:dyDescent="0.25">
      <c r="B20" s="56" t="s">
        <v>28</v>
      </c>
      <c r="C20" s="54" t="s">
        <v>2</v>
      </c>
      <c r="D20" s="55" t="s">
        <v>139</v>
      </c>
    </row>
    <row r="22" spans="2:4" x14ac:dyDescent="0.25">
      <c r="B22" s="58" t="s">
        <v>54</v>
      </c>
      <c r="C22" s="59" t="s">
        <v>124</v>
      </c>
      <c r="D22" s="55" t="s">
        <v>145</v>
      </c>
    </row>
    <row r="23" spans="2:4" x14ac:dyDescent="0.25">
      <c r="B23" s="58" t="s">
        <v>55</v>
      </c>
      <c r="C23" s="60" t="s">
        <v>125</v>
      </c>
      <c r="D23" s="55" t="s">
        <v>144</v>
      </c>
    </row>
    <row r="24" spans="2:4" x14ac:dyDescent="0.25">
      <c r="B24" s="58" t="s">
        <v>56</v>
      </c>
      <c r="C24" s="60" t="s">
        <v>126</v>
      </c>
      <c r="D24" s="55" t="s">
        <v>143</v>
      </c>
    </row>
    <row r="25" spans="2:4" x14ac:dyDescent="0.25">
      <c r="B25" s="58" t="s">
        <v>57</v>
      </c>
      <c r="C25" s="60" t="s">
        <v>50</v>
      </c>
      <c r="D25" s="55" t="s">
        <v>142</v>
      </c>
    </row>
    <row r="26" spans="2:4" x14ac:dyDescent="0.25">
      <c r="B26" s="58" t="s">
        <v>58</v>
      </c>
      <c r="C26" s="60" t="s">
        <v>51</v>
      </c>
      <c r="D26" s="55" t="s">
        <v>141</v>
      </c>
    </row>
    <row r="27" spans="2:4" x14ac:dyDescent="0.25">
      <c r="B27" s="58" t="s">
        <v>59</v>
      </c>
      <c r="C27" s="60" t="s">
        <v>52</v>
      </c>
      <c r="D27" s="55" t="s">
        <v>140</v>
      </c>
    </row>
    <row r="28" spans="2:4" x14ac:dyDescent="0.25">
      <c r="B28" s="58" t="s">
        <v>60</v>
      </c>
      <c r="C28" s="54" t="s">
        <v>53</v>
      </c>
      <c r="D28" s="55" t="s">
        <v>127</v>
      </c>
    </row>
    <row r="30" spans="2:4" ht="16.5" thickBot="1" x14ac:dyDescent="0.3">
      <c r="B30" s="61"/>
      <c r="C30" s="62"/>
      <c r="D30" s="63"/>
    </row>
    <row r="31" spans="2:4" ht="16.5" thickTop="1" x14ac:dyDescent="0.25">
      <c r="D31" s="35"/>
    </row>
    <row r="32" spans="2:4" x14ac:dyDescent="0.25">
      <c r="D32" s="35"/>
    </row>
    <row r="33" spans="4:4" x14ac:dyDescent="0.25">
      <c r="D33" s="35"/>
    </row>
    <row r="34" spans="4:4" x14ac:dyDescent="0.25">
      <c r="D34" s="35"/>
    </row>
    <row r="35" spans="4:4" x14ac:dyDescent="0.25">
      <c r="D35" s="35"/>
    </row>
    <row r="36" spans="4:4" x14ac:dyDescent="0.25">
      <c r="D36" s="64"/>
    </row>
    <row r="37" spans="4:4" x14ac:dyDescent="0.25">
      <c r="D37" s="64"/>
    </row>
    <row r="38" spans="4:4" x14ac:dyDescent="0.25">
      <c r="D38" s="64"/>
    </row>
    <row r="39" spans="4:4" x14ac:dyDescent="0.25">
      <c r="D39" s="64"/>
    </row>
    <row r="40" spans="4:4" x14ac:dyDescent="0.25">
      <c r="D40" s="64"/>
    </row>
  </sheetData>
  <sheetProtection password="B16A"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0"/>
  <sheetViews>
    <sheetView showGridLines="0" workbookViewId="0">
      <selection activeCell="G10" sqref="G10:H10"/>
    </sheetView>
  </sheetViews>
  <sheetFormatPr defaultColWidth="10.875" defaultRowHeight="15.75" x14ac:dyDescent="0.25"/>
  <cols>
    <col min="1" max="1" width="10.875" style="35"/>
    <col min="2" max="2" width="4.125" style="68" bestFit="1" customWidth="1"/>
    <col min="3" max="3" width="48" style="35" bestFit="1" customWidth="1"/>
    <col min="4" max="4" width="23.375" style="35" customWidth="1"/>
    <col min="5" max="5" width="20.625" style="74" customWidth="1"/>
    <col min="6" max="6" width="13" style="35" bestFit="1" customWidth="1"/>
    <col min="7" max="7" width="14.375" style="35" customWidth="1"/>
    <col min="8" max="8" width="1.625" style="35" customWidth="1"/>
    <col min="9" max="9" width="14.375" style="35" customWidth="1"/>
    <col min="10" max="16384" width="10.875" style="35"/>
  </cols>
  <sheetData>
    <row r="2" spans="1:10" ht="29.25" thickBot="1" x14ac:dyDescent="0.3">
      <c r="B2" s="48" t="s">
        <v>157</v>
      </c>
      <c r="C2" s="65"/>
      <c r="D2" s="66"/>
      <c r="E2" s="67"/>
      <c r="F2" s="66"/>
      <c r="G2" s="66"/>
      <c r="I2" s="66"/>
    </row>
    <row r="4" spans="1:10" x14ac:dyDescent="0.25">
      <c r="D4" s="69" t="s">
        <v>79</v>
      </c>
      <c r="E4" s="260">
        <v>1350</v>
      </c>
      <c r="F4" s="312" t="str">
        <f>IF(E4="","Please enter Total FTE #","")</f>
        <v/>
      </c>
    </row>
    <row r="6" spans="1:10" s="74" customFormat="1" ht="47.25" x14ac:dyDescent="0.25">
      <c r="A6" s="70"/>
      <c r="B6" s="71"/>
      <c r="C6" s="261" t="s">
        <v>136</v>
      </c>
      <c r="D6" s="72" t="str">
        <f>"% of FTE per "&amp;C6</f>
        <v>% of FTE per Departments/Functions</v>
      </c>
      <c r="E6" s="72" t="str">
        <f>"FTE per "&amp;C6</f>
        <v>FTE per Departments/Functions</v>
      </c>
      <c r="F6" s="73" t="s">
        <v>92</v>
      </c>
      <c r="G6" s="72" t="s">
        <v>137</v>
      </c>
      <c r="I6" s="72" t="s">
        <v>178</v>
      </c>
    </row>
    <row r="7" spans="1:10" x14ac:dyDescent="0.25">
      <c r="B7" s="53">
        <f t="shared" ref="B7:B16" si="0">B6+1</f>
        <v>1</v>
      </c>
      <c r="C7" s="262" t="s">
        <v>82</v>
      </c>
      <c r="D7" s="265">
        <v>0.11</v>
      </c>
      <c r="E7" s="75">
        <f t="shared" ref="E7:E16" si="1">IF($C7="","",$E$4*$D7)</f>
        <v>148.5</v>
      </c>
      <c r="F7" s="268">
        <v>55000</v>
      </c>
      <c r="G7" s="269">
        <v>8</v>
      </c>
      <c r="I7" s="75">
        <f>IF($C7="","",E7*$F7)</f>
        <v>8167500</v>
      </c>
      <c r="J7" s="89" t="str">
        <f t="shared" ref="J7:J16" si="2">IF(AND(C7&lt;&gt;"",OR(D7="",F7="",G7="")),"Please complete all yellow cells in row","")</f>
        <v/>
      </c>
    </row>
    <row r="8" spans="1:10" x14ac:dyDescent="0.25">
      <c r="B8" s="56">
        <f t="shared" si="0"/>
        <v>2</v>
      </c>
      <c r="C8" s="263" t="s">
        <v>80</v>
      </c>
      <c r="D8" s="266">
        <v>0.31</v>
      </c>
      <c r="E8" s="76">
        <f t="shared" si="1"/>
        <v>418.5</v>
      </c>
      <c r="F8" s="270">
        <v>80000</v>
      </c>
      <c r="G8" s="271">
        <v>8</v>
      </c>
      <c r="I8" s="75">
        <f t="shared" ref="I8:I16" si="3">IF($C8="","",E8*$F8)</f>
        <v>33480000</v>
      </c>
      <c r="J8" s="89" t="str">
        <f t="shared" si="2"/>
        <v/>
      </c>
    </row>
    <row r="9" spans="1:10" x14ac:dyDescent="0.25">
      <c r="B9" s="56">
        <f t="shared" si="0"/>
        <v>3</v>
      </c>
      <c r="C9" s="263" t="s">
        <v>165</v>
      </c>
      <c r="D9" s="266">
        <v>0.17</v>
      </c>
      <c r="E9" s="76">
        <f t="shared" si="1"/>
        <v>229.50000000000003</v>
      </c>
      <c r="F9" s="270">
        <v>67000</v>
      </c>
      <c r="G9" s="271">
        <v>8</v>
      </c>
      <c r="I9" s="75">
        <f t="shared" si="3"/>
        <v>15376500.000000002</v>
      </c>
      <c r="J9" s="89" t="str">
        <f t="shared" si="2"/>
        <v/>
      </c>
    </row>
    <row r="10" spans="1:10" x14ac:dyDescent="0.25">
      <c r="B10" s="56">
        <f t="shared" si="0"/>
        <v>4</v>
      </c>
      <c r="C10" s="263" t="s">
        <v>166</v>
      </c>
      <c r="D10" s="266">
        <v>0.22</v>
      </c>
      <c r="E10" s="76">
        <f t="shared" si="1"/>
        <v>297</v>
      </c>
      <c r="F10" s="270">
        <v>64000</v>
      </c>
      <c r="G10" s="271">
        <v>8</v>
      </c>
      <c r="I10" s="75">
        <f t="shared" si="3"/>
        <v>19008000</v>
      </c>
      <c r="J10" s="89" t="str">
        <f t="shared" si="2"/>
        <v/>
      </c>
    </row>
    <row r="11" spans="1:10" x14ac:dyDescent="0.25">
      <c r="B11" s="56">
        <f t="shared" si="0"/>
        <v>5</v>
      </c>
      <c r="C11" s="263" t="s">
        <v>167</v>
      </c>
      <c r="D11" s="266">
        <v>0.03</v>
      </c>
      <c r="E11" s="76">
        <f t="shared" si="1"/>
        <v>40.5</v>
      </c>
      <c r="F11" s="270">
        <v>110000</v>
      </c>
      <c r="G11" s="271">
        <v>10</v>
      </c>
      <c r="I11" s="75">
        <f t="shared" si="3"/>
        <v>4455000</v>
      </c>
      <c r="J11" s="89" t="str">
        <f t="shared" si="2"/>
        <v/>
      </c>
    </row>
    <row r="12" spans="1:10" x14ac:dyDescent="0.25">
      <c r="B12" s="56">
        <f t="shared" si="0"/>
        <v>6</v>
      </c>
      <c r="C12" s="263" t="s">
        <v>81</v>
      </c>
      <c r="D12" s="266">
        <v>7.0000000000000007E-2</v>
      </c>
      <c r="E12" s="76">
        <f t="shared" si="1"/>
        <v>94.500000000000014</v>
      </c>
      <c r="F12" s="270">
        <v>49000</v>
      </c>
      <c r="G12" s="271">
        <v>8</v>
      </c>
      <c r="I12" s="75">
        <f t="shared" si="3"/>
        <v>4630500.0000000009</v>
      </c>
      <c r="J12" s="89" t="str">
        <f t="shared" si="2"/>
        <v/>
      </c>
    </row>
    <row r="13" spans="1:10" x14ac:dyDescent="0.25">
      <c r="B13" s="56">
        <f t="shared" si="0"/>
        <v>7</v>
      </c>
      <c r="C13" s="263" t="s">
        <v>83</v>
      </c>
      <c r="D13" s="266">
        <v>0.06</v>
      </c>
      <c r="E13" s="76">
        <f t="shared" si="1"/>
        <v>81</v>
      </c>
      <c r="F13" s="270">
        <v>53000</v>
      </c>
      <c r="G13" s="271">
        <v>10</v>
      </c>
      <c r="I13" s="75">
        <f t="shared" si="3"/>
        <v>4293000</v>
      </c>
      <c r="J13" s="89" t="str">
        <f t="shared" si="2"/>
        <v/>
      </c>
    </row>
    <row r="14" spans="1:10" x14ac:dyDescent="0.25">
      <c r="B14" s="56">
        <f t="shared" si="0"/>
        <v>8</v>
      </c>
      <c r="C14" s="263" t="s">
        <v>84</v>
      </c>
      <c r="D14" s="266">
        <v>0.03</v>
      </c>
      <c r="E14" s="76">
        <f t="shared" si="1"/>
        <v>40.5</v>
      </c>
      <c r="F14" s="270">
        <v>38000</v>
      </c>
      <c r="G14" s="271">
        <v>8</v>
      </c>
      <c r="I14" s="75">
        <f t="shared" si="3"/>
        <v>1539000</v>
      </c>
      <c r="J14" s="89" t="str">
        <f t="shared" si="2"/>
        <v/>
      </c>
    </row>
    <row r="15" spans="1:10" x14ac:dyDescent="0.25">
      <c r="B15" s="56">
        <f t="shared" si="0"/>
        <v>9</v>
      </c>
      <c r="C15" s="263"/>
      <c r="D15" s="266"/>
      <c r="E15" s="76" t="str">
        <f t="shared" si="1"/>
        <v/>
      </c>
      <c r="F15" s="270"/>
      <c r="G15" s="271"/>
      <c r="I15" s="75" t="str">
        <f t="shared" si="3"/>
        <v/>
      </c>
      <c r="J15" s="89" t="str">
        <f t="shared" si="2"/>
        <v/>
      </c>
    </row>
    <row r="16" spans="1:10" x14ac:dyDescent="0.25">
      <c r="B16" s="58">
        <f t="shared" si="0"/>
        <v>10</v>
      </c>
      <c r="C16" s="264"/>
      <c r="D16" s="267"/>
      <c r="E16" s="77" t="str">
        <f t="shared" si="1"/>
        <v/>
      </c>
      <c r="F16" s="272"/>
      <c r="G16" s="273"/>
      <c r="I16" s="75" t="str">
        <f t="shared" si="3"/>
        <v/>
      </c>
      <c r="J16" s="89" t="str">
        <f t="shared" si="2"/>
        <v/>
      </c>
    </row>
    <row r="17" spans="2:9" ht="16.5" thickBot="1" x14ac:dyDescent="0.3">
      <c r="C17" s="78" t="str">
        <f>COUNTA(C7:C16)&amp;" "&amp;C6</f>
        <v>8 Departments/Functions</v>
      </c>
      <c r="D17" s="79">
        <f>SUM(D7:D16)</f>
        <v>1</v>
      </c>
      <c r="E17" s="78" t="str">
        <f>SUM(E7:E16)&amp;" "&amp;D4</f>
        <v>1350 Total FTE in Scope</v>
      </c>
      <c r="F17" s="80"/>
      <c r="G17" s="81"/>
      <c r="I17" s="90">
        <f>SUM(I7:I16)</f>
        <v>90949500</v>
      </c>
    </row>
    <row r="18" spans="2:9" ht="16.5" thickTop="1" x14ac:dyDescent="0.25"/>
    <row r="19" spans="2:9" x14ac:dyDescent="0.25">
      <c r="C19" s="274" t="s">
        <v>35</v>
      </c>
    </row>
    <row r="20" spans="2:9" x14ac:dyDescent="0.25">
      <c r="B20" s="53" t="s">
        <v>12</v>
      </c>
      <c r="C20" s="275" t="s">
        <v>113</v>
      </c>
    </row>
    <row r="21" spans="2:9" x14ac:dyDescent="0.25">
      <c r="B21" s="56" t="s">
        <v>13</v>
      </c>
      <c r="C21" s="275" t="s">
        <v>114</v>
      </c>
    </row>
    <row r="22" spans="2:9" x14ac:dyDescent="0.25">
      <c r="B22" s="56" t="s">
        <v>14</v>
      </c>
      <c r="C22" s="275" t="s">
        <v>115</v>
      </c>
    </row>
    <row r="23" spans="2:9" x14ac:dyDescent="0.25">
      <c r="B23" s="56" t="s">
        <v>15</v>
      </c>
      <c r="C23" s="275" t="s">
        <v>111</v>
      </c>
    </row>
    <row r="24" spans="2:9" x14ac:dyDescent="0.25">
      <c r="B24" s="56" t="s">
        <v>16</v>
      </c>
      <c r="C24" s="275" t="s">
        <v>116</v>
      </c>
    </row>
    <row r="25" spans="2:9" x14ac:dyDescent="0.25">
      <c r="B25" s="56" t="s">
        <v>17</v>
      </c>
      <c r="C25" s="275" t="s">
        <v>112</v>
      </c>
    </row>
    <row r="26" spans="2:9" x14ac:dyDescent="0.25">
      <c r="B26" s="56" t="s">
        <v>18</v>
      </c>
      <c r="C26" s="275" t="s">
        <v>152</v>
      </c>
    </row>
    <row r="27" spans="2:9" x14ac:dyDescent="0.25">
      <c r="B27" s="56" t="s">
        <v>19</v>
      </c>
      <c r="C27" s="275"/>
    </row>
    <row r="28" spans="2:9" x14ac:dyDescent="0.25">
      <c r="B28" s="56" t="s">
        <v>20</v>
      </c>
      <c r="C28" s="275"/>
    </row>
    <row r="29" spans="2:9" x14ac:dyDescent="0.25">
      <c r="B29" s="58" t="s">
        <v>21</v>
      </c>
      <c r="C29" s="275"/>
    </row>
    <row r="31" spans="2:9" x14ac:dyDescent="0.25">
      <c r="C31" s="274" t="s">
        <v>36</v>
      </c>
    </row>
    <row r="32" spans="2:9" x14ac:dyDescent="0.25">
      <c r="B32" s="53" t="s">
        <v>22</v>
      </c>
      <c r="C32" s="275" t="s">
        <v>0</v>
      </c>
    </row>
    <row r="33" spans="2:4" x14ac:dyDescent="0.25">
      <c r="B33" s="56" t="s">
        <v>23</v>
      </c>
      <c r="C33" s="275" t="s">
        <v>123</v>
      </c>
    </row>
    <row r="34" spans="2:4" x14ac:dyDescent="0.25">
      <c r="B34" s="56" t="s">
        <v>24</v>
      </c>
      <c r="C34" s="275" t="s">
        <v>118</v>
      </c>
    </row>
    <row r="35" spans="2:4" x14ac:dyDescent="0.25">
      <c r="B35" s="56" t="s">
        <v>25</v>
      </c>
      <c r="C35" s="275" t="s">
        <v>117</v>
      </c>
    </row>
    <row r="36" spans="2:4" x14ac:dyDescent="0.25">
      <c r="B36" s="56" t="s">
        <v>26</v>
      </c>
      <c r="C36" s="275" t="s">
        <v>119</v>
      </c>
    </row>
    <row r="37" spans="2:4" x14ac:dyDescent="0.25">
      <c r="B37" s="56" t="s">
        <v>27</v>
      </c>
      <c r="C37" s="275" t="s">
        <v>1</v>
      </c>
    </row>
    <row r="38" spans="2:4" x14ac:dyDescent="0.25">
      <c r="B38" s="56" t="s">
        <v>28</v>
      </c>
      <c r="C38" s="275" t="s">
        <v>2</v>
      </c>
    </row>
    <row r="39" spans="2:4" x14ac:dyDescent="0.25">
      <c r="B39" s="56" t="s">
        <v>29</v>
      </c>
      <c r="C39" s="275"/>
    </row>
    <row r="40" spans="2:4" x14ac:dyDescent="0.25">
      <c r="B40" s="56" t="s">
        <v>30</v>
      </c>
      <c r="C40" s="275"/>
    </row>
    <row r="41" spans="2:4" x14ac:dyDescent="0.25">
      <c r="B41" s="58" t="s">
        <v>31</v>
      </c>
      <c r="C41" s="275"/>
    </row>
    <row r="43" spans="2:4" x14ac:dyDescent="0.25">
      <c r="C43" s="82" t="s">
        <v>86</v>
      </c>
    </row>
    <row r="44" spans="2:4" x14ac:dyDescent="0.25">
      <c r="B44" s="58" t="s">
        <v>41</v>
      </c>
      <c r="C44" s="275" t="s">
        <v>4</v>
      </c>
    </row>
    <row r="45" spans="2:4" x14ac:dyDescent="0.25">
      <c r="B45" s="58" t="s">
        <v>42</v>
      </c>
      <c r="C45" s="275" t="s">
        <v>5</v>
      </c>
    </row>
    <row r="46" spans="2:4" x14ac:dyDescent="0.25">
      <c r="B46" s="58" t="s">
        <v>43</v>
      </c>
      <c r="C46" s="275" t="s">
        <v>6</v>
      </c>
    </row>
    <row r="48" spans="2:4" s="74" customFormat="1" ht="31.5" x14ac:dyDescent="0.25">
      <c r="B48" s="68"/>
      <c r="C48" s="276" t="s">
        <v>49</v>
      </c>
      <c r="D48" s="71" t="s">
        <v>194</v>
      </c>
    </row>
    <row r="49" spans="2:9" x14ac:dyDescent="0.25">
      <c r="B49" s="58" t="s">
        <v>54</v>
      </c>
      <c r="C49" s="83" t="s">
        <v>124</v>
      </c>
      <c r="D49" s="263">
        <v>100</v>
      </c>
      <c r="E49" s="311" t="str">
        <f>IF(D49="","Please fill in cell (even if '0')","")</f>
        <v/>
      </c>
    </row>
    <row r="50" spans="2:9" x14ac:dyDescent="0.25">
      <c r="B50" s="58" t="s">
        <v>55</v>
      </c>
      <c r="C50" s="84" t="s">
        <v>125</v>
      </c>
      <c r="D50" s="263">
        <v>50</v>
      </c>
      <c r="E50" s="311" t="str">
        <f t="shared" ref="E50:E56" si="4">IF(D50="","Please fill in cell (even if '0')","")</f>
        <v/>
      </c>
    </row>
    <row r="51" spans="2:9" x14ac:dyDescent="0.25">
      <c r="B51" s="58" t="s">
        <v>56</v>
      </c>
      <c r="C51" s="84" t="s">
        <v>126</v>
      </c>
      <c r="D51" s="263">
        <v>100</v>
      </c>
      <c r="E51" s="311" t="str">
        <f t="shared" si="4"/>
        <v/>
      </c>
    </row>
    <row r="52" spans="2:9" x14ac:dyDescent="0.25">
      <c r="B52" s="58" t="s">
        <v>57</v>
      </c>
      <c r="C52" s="84" t="s">
        <v>50</v>
      </c>
      <c r="D52" s="263">
        <v>200</v>
      </c>
      <c r="E52" s="311" t="str">
        <f t="shared" si="4"/>
        <v/>
      </c>
    </row>
    <row r="53" spans="2:9" x14ac:dyDescent="0.25">
      <c r="B53" s="58" t="s">
        <v>58</v>
      </c>
      <c r="C53" s="84" t="s">
        <v>51</v>
      </c>
      <c r="D53" s="263">
        <v>500</v>
      </c>
      <c r="E53" s="311" t="str">
        <f t="shared" si="4"/>
        <v/>
      </c>
    </row>
    <row r="54" spans="2:9" x14ac:dyDescent="0.25">
      <c r="B54" s="58" t="s">
        <v>59</v>
      </c>
      <c r="C54" s="84" t="s">
        <v>52</v>
      </c>
      <c r="D54" s="263">
        <v>50</v>
      </c>
      <c r="E54" s="311" t="str">
        <f t="shared" si="4"/>
        <v/>
      </c>
    </row>
    <row r="55" spans="2:9" x14ac:dyDescent="0.25">
      <c r="B55" s="58" t="s">
        <v>60</v>
      </c>
      <c r="C55" s="85" t="s">
        <v>53</v>
      </c>
      <c r="D55" s="263">
        <v>0</v>
      </c>
      <c r="E55" s="311" t="str">
        <f t="shared" si="4"/>
        <v/>
      </c>
    </row>
    <row r="56" spans="2:9" x14ac:dyDescent="0.25">
      <c r="B56" s="58" t="s">
        <v>172</v>
      </c>
      <c r="C56" s="84" t="s">
        <v>171</v>
      </c>
      <c r="D56" s="263">
        <v>0</v>
      </c>
      <c r="E56" s="311" t="str">
        <f t="shared" si="4"/>
        <v/>
      </c>
    </row>
    <row r="59" spans="2:9" ht="16.5" thickBot="1" x14ac:dyDescent="0.3">
      <c r="B59" s="86"/>
      <c r="C59" s="47"/>
      <c r="D59" s="47"/>
      <c r="E59" s="87"/>
      <c r="F59" s="47"/>
      <c r="G59" s="47"/>
      <c r="I59" s="47"/>
    </row>
    <row r="60" spans="2:9" ht="16.5" thickTop="1" x14ac:dyDescent="0.25"/>
  </sheetData>
  <sheetProtection algorithmName="SHA-512" hashValue="YUbC6s18w12jh5MBwxiNQ85JlsoVSdAB2nChDYg0aj69Yg8uCXgK76nuKqJaQGfVPyOjdlZg06F5fzOvnLPAdg==" saltValue="E+0kqfhQwrFSFH80R9Eeaw==" spinCount="100000" sheet="1" objects="1" scenarios="1"/>
  <phoneticPr fontId="25" type="noConversion"/>
  <pageMargins left="0.7" right="0.7" top="0.75" bottom="0.75" header="0.3" footer="0.3"/>
  <pageSetup paperSize="9" scale="66"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16"/>
  <sheetViews>
    <sheetView showGridLines="0" topLeftCell="B292" workbookViewId="0">
      <selection activeCell="G10" sqref="G10"/>
    </sheetView>
  </sheetViews>
  <sheetFormatPr defaultColWidth="10.875" defaultRowHeight="15.75" x14ac:dyDescent="0.25"/>
  <cols>
    <col min="1" max="1" width="10.875" style="35" hidden="1" customWidth="1"/>
    <col min="2" max="2" width="7" style="35" customWidth="1"/>
    <col min="3" max="3" width="4.125" style="91" customWidth="1"/>
    <col min="4" max="4" width="48" style="35" bestFit="1" customWidth="1"/>
    <col min="5" max="5" width="24.125" style="70" customWidth="1"/>
    <col min="6" max="6" width="10" style="194" customWidth="1"/>
    <col min="7" max="7" width="24.125" style="70" customWidth="1"/>
    <col min="8" max="8" width="24.125" style="88" customWidth="1"/>
    <col min="9" max="9" width="1.375" style="35" customWidth="1"/>
    <col min="10" max="10" width="2.5" style="35" customWidth="1"/>
    <col min="11" max="11" width="14.625" style="278" customWidth="1"/>
    <col min="12" max="12" width="2.625" style="35" customWidth="1"/>
    <col min="13" max="16384" width="10.875" style="35"/>
  </cols>
  <sheetData>
    <row r="2" spans="1:12" ht="29.25" thickBot="1" x14ac:dyDescent="0.5">
      <c r="C2" s="96" t="s">
        <v>158</v>
      </c>
      <c r="D2" s="65"/>
      <c r="E2" s="229"/>
      <c r="F2" s="230"/>
      <c r="G2" s="229"/>
      <c r="H2" s="50"/>
      <c r="I2" s="66"/>
      <c r="J2" s="66"/>
      <c r="K2" s="279"/>
      <c r="L2" s="66"/>
    </row>
    <row r="4" spans="1:12" x14ac:dyDescent="0.25">
      <c r="D4" s="231" t="str">
        <f>IFERROR("Total FTE of "&amp;D5&amp;": "&amp;VLOOKUP('1. FTE Allocations'!$D5,'0. Control Panel'!$C$7:$E$11,3,FALSE),"")</f>
        <v>Total FTE of IT: 148.5</v>
      </c>
    </row>
    <row r="5" spans="1:12" s="74" customFormat="1" ht="31.5" x14ac:dyDescent="0.25">
      <c r="C5" s="187">
        <v>1</v>
      </c>
      <c r="D5" s="203" t="str">
        <f>IF(INDEX('0. Control Panel'!$B$6:$C$16,MATCH('1. FTE Allocations'!$C5,'0. Control Panel'!$B$6:$B$16,0),2)=0,"-",INDEX('0. Control Panel'!$B$6:$C$16,MATCH('1. FTE Allocations'!$C5,'0. Control Panel'!$B$6:$B$16,0),2))</f>
        <v>IT</v>
      </c>
      <c r="E5" s="72" t="str">
        <f>"(% ) of "&amp;D5&amp;" FTE working on:"</f>
        <v>(% ) of IT FTE working on:</v>
      </c>
      <c r="F5" s="232" t="s">
        <v>33</v>
      </c>
      <c r="G5" s="72" t="s">
        <v>37</v>
      </c>
      <c r="H5" s="72" t="s">
        <v>38</v>
      </c>
      <c r="K5" s="277" t="s">
        <v>34</v>
      </c>
    </row>
    <row r="6" spans="1:12" x14ac:dyDescent="0.25">
      <c r="D6" s="233" t="str">
        <f>'0. Control Panel'!$C$19</f>
        <v>Customer Process</v>
      </c>
      <c r="L6" s="68"/>
    </row>
    <row r="7" spans="1:12" x14ac:dyDescent="0.25">
      <c r="A7" s="35" t="str">
        <f t="shared" ref="A7:A16" si="0">$D$5&amp;C7</f>
        <v>ITC1</v>
      </c>
      <c r="C7" s="234" t="str">
        <f>IF('0. Control Panel'!$C$20="","",'0. Control Panel'!$B$20)</f>
        <v>C1</v>
      </c>
      <c r="D7" s="235" t="str">
        <f>IF(C7="-","-",INDEX('0. Control Panel'!$B$19:$K$29,MATCH('1. FTE Allocations'!$C7,'0. Control Panel'!$B$19:$B$29,0),MATCH(D$6,'0. Control Panel'!$B$19:$K$19,0)))</f>
        <v>Increased Customer Retention</v>
      </c>
      <c r="E7" s="282">
        <v>0</v>
      </c>
      <c r="F7" s="209">
        <f>IFERROR(IF(D7="",0,E7*VLOOKUP($D$5,'0. Control Panel'!$C$7:$E$16,3,FALSE)),0)</f>
        <v>0</v>
      </c>
      <c r="G7" s="282">
        <v>0</v>
      </c>
      <c r="H7" s="236">
        <f>IFERROR(IF(D7="",0,F7*VLOOKUP($D$5,'0. Control Panel'!$C$7:$F$16,4,FALSE)*G7),0)</f>
        <v>0</v>
      </c>
      <c r="I7" s="35">
        <f>IF(OR(AND(E7&lt;&gt;0,G7=0),AND(E7=0,G7&lt;&gt;0))=TRUE,1,0)</f>
        <v>0</v>
      </c>
      <c r="K7" s="278" t="str">
        <f>IF('0. Control Panel'!C7="","-",'0. Control Panel'!C7)</f>
        <v>IT</v>
      </c>
      <c r="L7" s="74">
        <f>IF(K7="-","-",IF(AND($E$33=1,SUM($I$7:$I$28)=0),1,0))</f>
        <v>1</v>
      </c>
    </row>
    <row r="8" spans="1:12" x14ac:dyDescent="0.25">
      <c r="A8" s="35" t="str">
        <f t="shared" si="0"/>
        <v>ITC2</v>
      </c>
      <c r="C8" s="237" t="str">
        <f>IF('0. Control Panel'!$C$21="","-",'0. Control Panel'!$B$21)</f>
        <v>C2</v>
      </c>
      <c r="D8" s="238" t="str">
        <f>IF(C8="-","-",INDEX('0. Control Panel'!$B$19:$K$29,MATCH('1. FTE Allocations'!$C8,'0. Control Panel'!$B$19:$B$29,0),MATCH(D$6,'0. Control Panel'!$B$19:$K$19,0)))</f>
        <v>Reduced Sales Order Errors</v>
      </c>
      <c r="E8" s="283">
        <v>0.15</v>
      </c>
      <c r="F8" s="209">
        <f>IFERROR(IF(D8="",0,E8*VLOOKUP($D$5,'0. Control Panel'!$C$7:$E$16,3,FALSE)),0)</f>
        <v>22.274999999999999</v>
      </c>
      <c r="G8" s="283">
        <v>1</v>
      </c>
      <c r="H8" s="236">
        <f>IFERROR(IF(D8="",0,F8*VLOOKUP($D$5,'0. Control Panel'!$C$7:$F$16,4,FALSE)*G8),0)</f>
        <v>1225125</v>
      </c>
      <c r="I8" s="35">
        <f t="shared" ref="I8:I16" si="1">IF(OR(AND(E8&lt;&gt;0,G8=0),AND(E8=0,G8&lt;&gt;0))=TRUE,1,0)</f>
        <v>0</v>
      </c>
      <c r="K8" s="278" t="str">
        <f>IF('0. Control Panel'!C8="","-",'0. Control Panel'!C8)</f>
        <v>Sales</v>
      </c>
      <c r="L8" s="74">
        <f>IF(K8="-","-",IF(AND($E$64=1,SUM($I$38:$I$59)=0),1,0))</f>
        <v>1</v>
      </c>
    </row>
    <row r="9" spans="1:12" x14ac:dyDescent="0.25">
      <c r="A9" s="35" t="str">
        <f t="shared" si="0"/>
        <v>ITC3</v>
      </c>
      <c r="C9" s="237" t="str">
        <f>IF('0. Control Panel'!$C$22="","-",'0. Control Panel'!$B$22)</f>
        <v>C3</v>
      </c>
      <c r="D9" s="238" t="str">
        <f>IF(C9="-","-",INDEX('0. Control Panel'!$B$19:$K$29,MATCH('1. FTE Allocations'!$C9,'0. Control Panel'!$B$19:$B$29,0),MATCH(D$6,'0. Control Panel'!$B$19:$K$19,0)))</f>
        <v>Reduced Sales Cycle Time</v>
      </c>
      <c r="E9" s="283">
        <v>0.15</v>
      </c>
      <c r="F9" s="209">
        <f>IFERROR(IF(D9="",0,E9*VLOOKUP($D$5,'0. Control Panel'!$C$7:$E$16,3,FALSE)),0)</f>
        <v>22.274999999999999</v>
      </c>
      <c r="G9" s="283">
        <v>1</v>
      </c>
      <c r="H9" s="236">
        <f>IFERROR(IF(D9="",0,F9*VLOOKUP($D$5,'0. Control Panel'!$C$7:$F$16,4,FALSE)*G9),0)</f>
        <v>1225125</v>
      </c>
      <c r="I9" s="35">
        <f t="shared" si="1"/>
        <v>0</v>
      </c>
      <c r="K9" s="278" t="str">
        <f>IF('0. Control Panel'!C9="","-",'0. Control Panel'!C9)</f>
        <v>Product A</v>
      </c>
      <c r="L9" s="74">
        <f>IF(K9="-","-",IF(AND($E$95=1,SUM($I$69:$I$90)=0),1,0))</f>
        <v>1</v>
      </c>
    </row>
    <row r="10" spans="1:12" x14ac:dyDescent="0.25">
      <c r="A10" s="35" t="str">
        <f t="shared" si="0"/>
        <v>ITC4</v>
      </c>
      <c r="C10" s="237" t="str">
        <f>IF('0. Control Panel'!$C$23="","-",'0. Control Panel'!$B$23)</f>
        <v>C4</v>
      </c>
      <c r="D10" s="238" t="str">
        <f>IF(C10="-","-",INDEX('0. Control Panel'!$B$19:$K$29,MATCH('1. FTE Allocations'!$C10,'0. Control Panel'!$B$19:$B$29,0),MATCH(D$6,'0. Control Panel'!$B$19:$K$19,0)))</f>
        <v>Increased Cross-Sell / Up-Sell</v>
      </c>
      <c r="E10" s="283">
        <v>0</v>
      </c>
      <c r="F10" s="209">
        <f>IFERROR(IF(D10="",0,E10*VLOOKUP($D$5,'0. Control Panel'!$C$7:$E$16,3,FALSE)),0)</f>
        <v>0</v>
      </c>
      <c r="G10" s="283">
        <v>0</v>
      </c>
      <c r="H10" s="236">
        <f>IFERROR(IF(D10="",0,F10*VLOOKUP($D$5,'0. Control Panel'!$C$7:$F$16,4,FALSE)*G10),0)</f>
        <v>0</v>
      </c>
      <c r="I10" s="35">
        <f t="shared" si="1"/>
        <v>0</v>
      </c>
      <c r="K10" s="278" t="str">
        <f>IF('0. Control Panel'!C10="","-",'0. Control Panel'!C10)</f>
        <v>Product B</v>
      </c>
      <c r="L10" s="74">
        <f>IF(K10="-","-",IF(AND($E$126=1,SUM($I$100:$I$121)=0),1,0))</f>
        <v>1</v>
      </c>
    </row>
    <row r="11" spans="1:12" x14ac:dyDescent="0.25">
      <c r="A11" s="35" t="str">
        <f t="shared" si="0"/>
        <v>ITC5</v>
      </c>
      <c r="C11" s="237" t="str">
        <f>IF('0. Control Panel'!$C$24="","-",'0. Control Panel'!$B$24)</f>
        <v>C5</v>
      </c>
      <c r="D11" s="238" t="str">
        <f>IF(C11="-","-",INDEX('0. Control Panel'!$B$19:$K$29,MATCH('1. FTE Allocations'!$C11,'0. Control Panel'!$B$19:$B$29,0),MATCH(D$6,'0. Control Panel'!$B$19:$K$19,0)))</f>
        <v>Improved Marketing Response Rate</v>
      </c>
      <c r="E11" s="283">
        <v>0</v>
      </c>
      <c r="F11" s="209">
        <f>IFERROR(IF(D11="",0,E11*VLOOKUP($D$5,'0. Control Panel'!$C$7:$E$16,3,FALSE)),0)</f>
        <v>0</v>
      </c>
      <c r="G11" s="283">
        <v>0</v>
      </c>
      <c r="H11" s="236">
        <f>IFERROR(IF(D11="",0,F11*VLOOKUP($D$5,'0. Control Panel'!$C$7:$F$16,4,FALSE)*G11),0)</f>
        <v>0</v>
      </c>
      <c r="I11" s="35">
        <f t="shared" si="1"/>
        <v>0</v>
      </c>
      <c r="K11" s="278" t="str">
        <f>IF('0. Control Panel'!C11="","-",'0. Control Panel'!C11)</f>
        <v>R&amp;D</v>
      </c>
      <c r="L11" s="74">
        <f>IF(K11="-","-",IF(AND($E$157=1,SUM($I$131:$I$152)=0),1,0))</f>
        <v>1</v>
      </c>
    </row>
    <row r="12" spans="1:12" x14ac:dyDescent="0.25">
      <c r="A12" s="35" t="str">
        <f t="shared" si="0"/>
        <v>ITC6</v>
      </c>
      <c r="C12" s="237" t="str">
        <f>IF('0. Control Panel'!$C$25="","-",'0. Control Panel'!$B$25)</f>
        <v>C6</v>
      </c>
      <c r="D12" s="238" t="str">
        <f>IF(C12="-","-",INDEX('0. Control Panel'!$B$19:$K$29,MATCH('1. FTE Allocations'!$C12,'0. Control Panel'!$B$19:$B$29,0),MATCH(D$6,'0. Control Panel'!$B$19:$K$19,0)))</f>
        <v>Call Center Efficiency</v>
      </c>
      <c r="E12" s="283"/>
      <c r="F12" s="209">
        <f>IFERROR(IF(D12="",0,E12*VLOOKUP($D$5,'0. Control Panel'!$C$7:$E$16,3,FALSE)),0)</f>
        <v>0</v>
      </c>
      <c r="G12" s="283">
        <v>0</v>
      </c>
      <c r="H12" s="236">
        <f>IFERROR(IF(D12="",0,F12*VLOOKUP($D$5,'0. Control Panel'!$C$7:$F$16,4,FALSE)*G12),0)</f>
        <v>0</v>
      </c>
      <c r="I12" s="35">
        <f t="shared" si="1"/>
        <v>0</v>
      </c>
      <c r="K12" s="278" t="str">
        <f>IF('0. Control Panel'!C12="","-",'0. Control Panel'!C12)</f>
        <v>HR</v>
      </c>
      <c r="L12" s="74">
        <f>IF(K12="-","-",IF(AND($E$188=1,SUM($I$162:$I$183)=0),1,0))</f>
        <v>1</v>
      </c>
    </row>
    <row r="13" spans="1:12" x14ac:dyDescent="0.25">
      <c r="A13" s="35" t="str">
        <f t="shared" si="0"/>
        <v>ITC7</v>
      </c>
      <c r="C13" s="237" t="str">
        <f>IF('0. Control Panel'!$C$26="","-",'0. Control Panel'!$B$26)</f>
        <v>C7</v>
      </c>
      <c r="D13" s="238" t="str">
        <f>IF(C13="-","-",INDEX('0. Control Panel'!$B$19:$K$29,MATCH('1. FTE Allocations'!$C13,'0. Control Panel'!$B$19:$B$29,0),MATCH(D$6,'0. Control Panel'!$B$19:$K$19,0)))</f>
        <v>Economies of Scale (M&amp;A)</v>
      </c>
      <c r="E13" s="283">
        <v>0</v>
      </c>
      <c r="F13" s="209">
        <f>IFERROR(IF(D13="",0,E13*VLOOKUP($D$5,'0. Control Panel'!$C$7:$E$16,3,FALSE)),0)</f>
        <v>0</v>
      </c>
      <c r="G13" s="283">
        <v>0</v>
      </c>
      <c r="H13" s="236">
        <f>IFERROR(IF(D13="",0,F13*VLOOKUP($D$5,'0. Control Panel'!$C$7:$F$16,4,FALSE)*G13),0)</f>
        <v>0</v>
      </c>
      <c r="I13" s="35">
        <f t="shared" si="1"/>
        <v>0</v>
      </c>
      <c r="K13" s="278" t="str">
        <f>IF('0. Control Panel'!C13="","-",'0. Control Panel'!C13)</f>
        <v>Finance</v>
      </c>
      <c r="L13" s="74">
        <f>IF(K13="-","-",IF(AND($E$219=1,SUM($I$193:$I$214)=0),1,0))</f>
        <v>1</v>
      </c>
    </row>
    <row r="14" spans="1:12" x14ac:dyDescent="0.25">
      <c r="A14" s="35" t="str">
        <f t="shared" si="0"/>
        <v>IT-</v>
      </c>
      <c r="C14" s="237" t="str">
        <f>IF('0. Control Panel'!$C$27="","-",'0. Control Panel'!$B$27)</f>
        <v>-</v>
      </c>
      <c r="D14" s="238" t="str">
        <f>IF(C14="-","-",INDEX('0. Control Panel'!$B$19:$K$29,MATCH('1. FTE Allocations'!$C14,'0. Control Panel'!$B$19:$B$29,0),MATCH(D$6,'0. Control Panel'!$B$19:$K$19,0)))</f>
        <v>-</v>
      </c>
      <c r="E14" s="283">
        <v>0</v>
      </c>
      <c r="F14" s="209">
        <f>IFERROR(IF(D14="",0,E14*VLOOKUP($D$5,'0. Control Panel'!$C$7:$E$16,3,FALSE)),0)</f>
        <v>0</v>
      </c>
      <c r="G14" s="283">
        <v>0</v>
      </c>
      <c r="H14" s="236">
        <f>IFERROR(IF(D14="",0,F14*VLOOKUP($D$5,'0. Control Panel'!$C$7:$F$16,4,FALSE)*G14),0)</f>
        <v>0</v>
      </c>
      <c r="I14" s="35">
        <f t="shared" si="1"/>
        <v>0</v>
      </c>
      <c r="K14" s="278" t="str">
        <f>IF('0. Control Panel'!C14="","-",'0. Control Panel'!C14)</f>
        <v>Head Office</v>
      </c>
      <c r="L14" s="74">
        <f>IF(K14="-","-",IF(AND($E$250=1,SUM($I$224:$I$245)=0),1,0))</f>
        <v>1</v>
      </c>
    </row>
    <row r="15" spans="1:12" x14ac:dyDescent="0.25">
      <c r="A15" s="35" t="str">
        <f t="shared" si="0"/>
        <v>IT-</v>
      </c>
      <c r="C15" s="237" t="str">
        <f>IF('0. Control Panel'!$C$28="","-",'0. Control Panel'!$B$28)</f>
        <v>-</v>
      </c>
      <c r="D15" s="238" t="str">
        <f>IF(C15="-","-",INDEX('0. Control Panel'!$B$19:$K$29,MATCH('1. FTE Allocations'!$C15,'0. Control Panel'!$B$19:$B$29,0),MATCH(D$6,'0. Control Panel'!$B$19:$K$19,0)))</f>
        <v>-</v>
      </c>
      <c r="E15" s="283">
        <v>0</v>
      </c>
      <c r="F15" s="209">
        <f>IFERROR(IF(D15="",0,E15*VLOOKUP($D$5,'0. Control Panel'!$C$7:$E$16,3,FALSE)),0)</f>
        <v>0</v>
      </c>
      <c r="G15" s="283">
        <v>0</v>
      </c>
      <c r="H15" s="236">
        <f>IFERROR(IF(D15="",0,F15*VLOOKUP($D$5,'0. Control Panel'!$C$7:$F$16,4,FALSE)*G15),0)</f>
        <v>0</v>
      </c>
      <c r="I15" s="35">
        <f t="shared" si="1"/>
        <v>0</v>
      </c>
      <c r="K15" s="278" t="str">
        <f>IF('0. Control Panel'!C15="","-",'0. Control Panel'!C15)</f>
        <v>-</v>
      </c>
      <c r="L15" s="74" t="str">
        <f>IF(K15="-","-",IF(AND($E$281=1,SUM($I$255:$I$276)=0),1,0))</f>
        <v>-</v>
      </c>
    </row>
    <row r="16" spans="1:12" x14ac:dyDescent="0.25">
      <c r="A16" s="35" t="str">
        <f t="shared" si="0"/>
        <v>IT-</v>
      </c>
      <c r="C16" s="239" t="str">
        <f>IF('0. Control Panel'!$C$29="","-",'0. Control Panel'!$B$29)</f>
        <v>-</v>
      </c>
      <c r="D16" s="240" t="str">
        <f>IF(C16="-","-",INDEX('0. Control Panel'!$B$19:$K$29,MATCH('1. FTE Allocations'!$C16,'0. Control Panel'!$B$19:$B$29,0),MATCH(D$6,'0. Control Panel'!$B$19:$K$19,0)))</f>
        <v>-</v>
      </c>
      <c r="E16" s="284">
        <v>0</v>
      </c>
      <c r="F16" s="209">
        <f>IFERROR(IF(D16="",0,E16*VLOOKUP($D$5,'0. Control Panel'!$C$7:$E$16,3,FALSE)),0)</f>
        <v>0</v>
      </c>
      <c r="G16" s="284">
        <v>0</v>
      </c>
      <c r="H16" s="236">
        <f>IFERROR(IF(D16="",0,F16*VLOOKUP($D$5,'0. Control Panel'!$C$7:$F$16,4,FALSE)*G16),0)</f>
        <v>0</v>
      </c>
      <c r="I16" s="35">
        <f t="shared" si="1"/>
        <v>0</v>
      </c>
      <c r="K16" s="278" t="str">
        <f>IF('0. Control Panel'!C16="","-",'0. Control Panel'!C16)</f>
        <v>-</v>
      </c>
      <c r="L16" s="74" t="str">
        <f>IF(K16="-","-",IF(AND($E$312=1,SUM($I$286:$I$307)=0),1,0))</f>
        <v>-</v>
      </c>
    </row>
    <row r="17" spans="1:9" x14ac:dyDescent="0.25">
      <c r="D17" s="241" t="s">
        <v>32</v>
      </c>
      <c r="E17" s="242">
        <f>SUM(E7:E16)</f>
        <v>0.3</v>
      </c>
      <c r="F17" s="243">
        <f>SUM(F7:F16)</f>
        <v>44.55</v>
      </c>
      <c r="G17" s="242"/>
      <c r="H17" s="244">
        <f>SUM(H7:H16)</f>
        <v>2450250</v>
      </c>
    </row>
    <row r="18" spans="1:9" x14ac:dyDescent="0.25">
      <c r="D18" s="233" t="str">
        <f>'0. Control Panel'!$C$31</f>
        <v>Product Process</v>
      </c>
    </row>
    <row r="19" spans="1:9" x14ac:dyDescent="0.25">
      <c r="A19" s="35" t="str">
        <f t="shared" ref="A19:A28" si="2">$D$5&amp;C19</f>
        <v>ITP1</v>
      </c>
      <c r="C19" s="234" t="str">
        <f>IF('0. Control Panel'!$C$32="","-",'0. Control Panel'!$B$32)</f>
        <v>P1</v>
      </c>
      <c r="D19" s="240" t="str">
        <f>IF(C19="-","-",INDEX('0. Control Panel'!$B$31:$K$41,MATCH('1. FTE Allocations'!$C19,'0. Control Panel'!$B$31:$B$41,0),MATCH(D$18,'0. Control Panel'!$B$31:$K$31,0)))</f>
        <v>Reduced Data Management Costs</v>
      </c>
      <c r="E19" s="283">
        <v>0.4</v>
      </c>
      <c r="F19" s="209">
        <f>IFERROR(IF(D19="",0,E19*VLOOKUP($D$5,'0. Control Panel'!$C$7:$E$16,3,FALSE)),0)</f>
        <v>59.400000000000006</v>
      </c>
      <c r="G19" s="283">
        <v>0.8</v>
      </c>
      <c r="H19" s="236">
        <f>IFERROR(IF(D19="",0,F19*VLOOKUP($D$5,'0. Control Panel'!$C$7:$F$16,4,FALSE)*G19),0)</f>
        <v>2613600.0000000005</v>
      </c>
      <c r="I19" s="35">
        <f>IF(OR(AND(E19&lt;&gt;0,G19=0),AND(E19=0,G19&lt;&gt;0))=TRUE,1,0)</f>
        <v>0</v>
      </c>
    </row>
    <row r="20" spans="1:9" x14ac:dyDescent="0.25">
      <c r="A20" s="35" t="str">
        <f t="shared" si="2"/>
        <v>ITP2</v>
      </c>
      <c r="C20" s="237" t="str">
        <f>IF('0. Control Panel'!$C$33="","-",'0. Control Panel'!$B$33)</f>
        <v>P2</v>
      </c>
      <c r="D20" s="240" t="str">
        <f>IF(C20="-","-",INDEX('0. Control Panel'!$B$31:$K$41,MATCH('1. FTE Allocations'!$C20,'0. Control Panel'!$B$31:$B$41,0),MATCH(D$18,'0. Control Panel'!$B$31:$K$31,0)))</f>
        <v>Reduced Report Generation Cost</v>
      </c>
      <c r="E20" s="283">
        <v>0.1</v>
      </c>
      <c r="F20" s="209">
        <f>IFERROR(IF(D20="",0,E20*VLOOKUP($D$5,'0. Control Panel'!$C$7:$E$16,3,FALSE)),0)</f>
        <v>14.850000000000001</v>
      </c>
      <c r="G20" s="283">
        <v>0.6</v>
      </c>
      <c r="H20" s="236">
        <f>IFERROR(IF(D20="",0,F20*VLOOKUP($D$5,'0. Control Panel'!$C$7:$F$16,4,FALSE)*G20),0)</f>
        <v>490050.00000000006</v>
      </c>
      <c r="I20" s="35">
        <f t="shared" ref="I20:I28" si="3">IF(OR(AND(E20&lt;&gt;0,G20=0),AND(E20=0,G20&lt;&gt;0))=TRUE,1,0)</f>
        <v>0</v>
      </c>
    </row>
    <row r="21" spans="1:9" x14ac:dyDescent="0.25">
      <c r="A21" s="35" t="str">
        <f t="shared" si="2"/>
        <v>ITP3</v>
      </c>
      <c r="C21" s="237" t="str">
        <f>IF('0. Control Panel'!$C$34="","-",'0. Control Panel'!$B$34)</f>
        <v>P3</v>
      </c>
      <c r="D21" s="240" t="str">
        <f>IF(C21="-","-",INDEX('0. Control Panel'!$B$31:$K$41,MATCH('1. FTE Allocations'!$C21,'0. Control Panel'!$B$31:$B$41,0),MATCH(D$18,'0. Control Panel'!$B$31:$K$31,0)))</f>
        <v>Reduced Integration Costs</v>
      </c>
      <c r="E21" s="283">
        <v>0</v>
      </c>
      <c r="F21" s="209">
        <f>IFERROR(IF(D21="",0,E21*VLOOKUP($D$5,'0. Control Panel'!$C$7:$E$16,3,FALSE)),0)</f>
        <v>0</v>
      </c>
      <c r="G21" s="283">
        <v>0</v>
      </c>
      <c r="H21" s="236">
        <f>IFERROR(IF(D21="",0,F21*VLOOKUP($D$5,'0. Control Panel'!$C$7:$F$16,4,FALSE)*G21),0)</f>
        <v>0</v>
      </c>
      <c r="I21" s="35">
        <f t="shared" si="3"/>
        <v>0</v>
      </c>
    </row>
    <row r="22" spans="1:9" x14ac:dyDescent="0.25">
      <c r="A22" s="35" t="str">
        <f t="shared" si="2"/>
        <v>ITP4</v>
      </c>
      <c r="C22" s="237" t="str">
        <f>IF('0. Control Panel'!$C$35="","-",'0. Control Panel'!$B$35)</f>
        <v>P4</v>
      </c>
      <c r="D22" s="240" t="str">
        <f>IF(C22="-","-",INDEX('0. Control Panel'!$B$31:$K$41,MATCH('1. FTE Allocations'!$C22,'0. Control Panel'!$B$31:$B$41,0),MATCH(D$18,'0. Control Panel'!$B$31:$K$31,0)))</f>
        <v>Reduced Marketing Costs</v>
      </c>
      <c r="E22" s="283">
        <v>0</v>
      </c>
      <c r="F22" s="209">
        <f>IFERROR(IF(D22="",0,E22*VLOOKUP($D$5,'0. Control Panel'!$C$7:$E$16,3,FALSE)),0)</f>
        <v>0</v>
      </c>
      <c r="G22" s="283">
        <v>0</v>
      </c>
      <c r="H22" s="236">
        <f>IFERROR(IF(D22="",0,F22*VLOOKUP($D$5,'0. Control Panel'!$C$7:$F$16,4,FALSE)*G22),0)</f>
        <v>0</v>
      </c>
      <c r="I22" s="35">
        <f t="shared" si="3"/>
        <v>0</v>
      </c>
    </row>
    <row r="23" spans="1:9" x14ac:dyDescent="0.25">
      <c r="A23" s="35" t="str">
        <f t="shared" si="2"/>
        <v>ITP5</v>
      </c>
      <c r="C23" s="237" t="str">
        <f>IF('0. Control Panel'!$C$36="","-",'0. Control Panel'!$B$36)</f>
        <v>P5</v>
      </c>
      <c r="D23" s="240" t="str">
        <f>IF(C23="-","-",INDEX('0. Control Panel'!$B$31:$K$41,MATCH('1. FTE Allocations'!$C23,'0. Control Panel'!$B$31:$B$41,0),MATCH(D$18,'0. Control Panel'!$B$31:$K$31,0)))</f>
        <v>Reduced Time to Take New Product to Market</v>
      </c>
      <c r="E23" s="283">
        <v>0</v>
      </c>
      <c r="F23" s="209">
        <f>IFERROR(IF(D23="",0,E23*VLOOKUP($D$5,'0. Control Panel'!$C$7:$E$16,3,FALSE)),0)</f>
        <v>0</v>
      </c>
      <c r="G23" s="283">
        <v>0</v>
      </c>
      <c r="H23" s="236">
        <f>IFERROR(IF(D23="",0,F23*VLOOKUP($D$5,'0. Control Panel'!$C$7:$F$16,4,FALSE)*G23),0)</f>
        <v>0</v>
      </c>
      <c r="I23" s="35">
        <f t="shared" si="3"/>
        <v>0</v>
      </c>
    </row>
    <row r="24" spans="1:9" x14ac:dyDescent="0.25">
      <c r="A24" s="35" t="str">
        <f t="shared" si="2"/>
        <v>ITP6</v>
      </c>
      <c r="C24" s="237" t="str">
        <f>IF('0. Control Panel'!$C$37="","-",'0. Control Panel'!$B$37)</f>
        <v>P6</v>
      </c>
      <c r="D24" s="240" t="str">
        <f>IF(C24="-","-",INDEX('0. Control Panel'!$B$31:$K$41,MATCH('1. FTE Allocations'!$C24,'0. Control Panel'!$B$31:$B$41,0),MATCH(D$18,'0. Control Panel'!$B$31:$K$31,0)))</f>
        <v>Reduced Credit Risk Costs</v>
      </c>
      <c r="E24" s="283">
        <v>0</v>
      </c>
      <c r="F24" s="209">
        <f>IFERROR(IF(D24="",0,E24*VLOOKUP($D$5,'0. Control Panel'!$C$7:$E$16,3,FALSE)),0)</f>
        <v>0</v>
      </c>
      <c r="G24" s="283">
        <v>0</v>
      </c>
      <c r="H24" s="236">
        <f>IFERROR(IF(D24="",0,F24*VLOOKUP($D$5,'0. Control Panel'!$C$7:$F$16,4,FALSE)*G24),0)</f>
        <v>0</v>
      </c>
      <c r="I24" s="35">
        <f t="shared" si="3"/>
        <v>0</v>
      </c>
    </row>
    <row r="25" spans="1:9" x14ac:dyDescent="0.25">
      <c r="A25" s="35" t="str">
        <f t="shared" si="2"/>
        <v>ITP7</v>
      </c>
      <c r="C25" s="237" t="str">
        <f>IF('0. Control Panel'!$C$38="","-",'0. Control Panel'!$B$38)</f>
        <v>P7</v>
      </c>
      <c r="D25" s="240" t="str">
        <f>IF(C25="-","-",INDEX('0. Control Panel'!$B$31:$K$41,MATCH('1. FTE Allocations'!$C25,'0. Control Panel'!$B$31:$B$41,0),MATCH(D$18,'0. Control Panel'!$B$31:$K$31,0)))</f>
        <v>Reduced Non-Compliance Risk  Costs</v>
      </c>
      <c r="E25" s="283">
        <v>0</v>
      </c>
      <c r="F25" s="209">
        <f>IFERROR(IF(D25="",0,E25*VLOOKUP($D$5,'0. Control Panel'!$C$7:$E$16,3,FALSE)),0)</f>
        <v>0</v>
      </c>
      <c r="G25" s="283">
        <v>0</v>
      </c>
      <c r="H25" s="236">
        <f>IFERROR(IF(D25="",0,F25*VLOOKUP($D$5,'0. Control Panel'!$C$7:$F$16,4,FALSE)*G25),0)</f>
        <v>0</v>
      </c>
      <c r="I25" s="35">
        <f t="shared" si="3"/>
        <v>0</v>
      </c>
    </row>
    <row r="26" spans="1:9" x14ac:dyDescent="0.25">
      <c r="A26" s="35" t="str">
        <f t="shared" si="2"/>
        <v>IT-</v>
      </c>
      <c r="C26" s="237" t="str">
        <f>IF('0. Control Panel'!C39="","-",'0. Control Panel'!B39)</f>
        <v>-</v>
      </c>
      <c r="D26" s="240" t="str">
        <f>IF(C26="-","-",INDEX('0. Control Panel'!$B$31:$K$41,MATCH('1. FTE Allocations'!$C26,'0. Control Panel'!$B$31:$B$41,0),MATCH(D$18,'0. Control Panel'!$B$31:$K$31,0)))</f>
        <v>-</v>
      </c>
      <c r="E26" s="283">
        <v>0</v>
      </c>
      <c r="F26" s="209">
        <f>IFERROR(IF(D26="",0,E26*VLOOKUP($D$5,'0. Control Panel'!$C$7:$E$16,3,FALSE)),0)</f>
        <v>0</v>
      </c>
      <c r="G26" s="283">
        <v>0</v>
      </c>
      <c r="H26" s="236">
        <f>IFERROR(IF(D26="",0,F26*VLOOKUP($D$5,'0. Control Panel'!$C$7:$F$16,4,FALSE)*G26),0)</f>
        <v>0</v>
      </c>
      <c r="I26" s="35">
        <f t="shared" si="3"/>
        <v>0</v>
      </c>
    </row>
    <row r="27" spans="1:9" x14ac:dyDescent="0.25">
      <c r="A27" s="35" t="str">
        <f t="shared" si="2"/>
        <v>IT-</v>
      </c>
      <c r="C27" s="237" t="str">
        <f>IF('0. Control Panel'!C40="","-",'0. Control Panel'!B40)</f>
        <v>-</v>
      </c>
      <c r="D27" s="240" t="str">
        <f>IF(C27="-","-",INDEX('0. Control Panel'!$B$31:$K$41,MATCH('1. FTE Allocations'!$C27,'0. Control Panel'!$B$31:$B$41,0),MATCH(D$18,'0. Control Panel'!$B$31:$K$31,0)))</f>
        <v>-</v>
      </c>
      <c r="E27" s="283">
        <v>0</v>
      </c>
      <c r="F27" s="209">
        <f>IFERROR(IF(D27="",0,E27*VLOOKUP($D$5,'0. Control Panel'!$C$7:$E$16,3,FALSE)),0)</f>
        <v>0</v>
      </c>
      <c r="G27" s="283">
        <v>0</v>
      </c>
      <c r="H27" s="236">
        <f>IFERROR(IF(D27="",0,F27*VLOOKUP($D$5,'0. Control Panel'!$C$7:$F$16,4,FALSE)*G27),0)</f>
        <v>0</v>
      </c>
      <c r="I27" s="35">
        <f t="shared" si="3"/>
        <v>0</v>
      </c>
    </row>
    <row r="28" spans="1:9" x14ac:dyDescent="0.25">
      <c r="A28" s="35" t="str">
        <f t="shared" si="2"/>
        <v>IT-</v>
      </c>
      <c r="C28" s="239" t="str">
        <f>IF('0. Control Panel'!C41="","-",'0. Control Panel'!B41)</f>
        <v>-</v>
      </c>
      <c r="D28" s="240" t="str">
        <f>IF(C28="-","-",INDEX('0. Control Panel'!$B$31:$K$41,MATCH('1. FTE Allocations'!$C28,'0. Control Panel'!$B$31:$B$41,0),MATCH(D$18,'0. Control Panel'!$B$31:$K$31,0)))</f>
        <v>-</v>
      </c>
      <c r="E28" s="284">
        <v>0</v>
      </c>
      <c r="F28" s="209">
        <f>IFERROR(IF(D28="",0,E28*VLOOKUP($D$5,'0. Control Panel'!$C$7:$E$16,3,FALSE)),0)</f>
        <v>0</v>
      </c>
      <c r="G28" s="284">
        <v>0</v>
      </c>
      <c r="H28" s="236">
        <f>IFERROR(IF(D28="",0,F28*VLOOKUP($D$5,'0. Control Panel'!$C$7:$F$16,4,FALSE)*G28),0)</f>
        <v>0</v>
      </c>
      <c r="I28" s="35">
        <f t="shared" si="3"/>
        <v>0</v>
      </c>
    </row>
    <row r="29" spans="1:9" x14ac:dyDescent="0.25">
      <c r="D29" s="241" t="s">
        <v>32</v>
      </c>
      <c r="E29" s="242">
        <f>SUM(E19:E28)</f>
        <v>0.5</v>
      </c>
      <c r="F29" s="243">
        <f>SUM(F19:F28)</f>
        <v>74.25</v>
      </c>
      <c r="G29" s="242"/>
      <c r="H29" s="244">
        <f>SUM(H19:H28)</f>
        <v>3103650.0000000005</v>
      </c>
    </row>
    <row r="30" spans="1:9" ht="6" customHeight="1" x14ac:dyDescent="0.25"/>
    <row r="31" spans="1:9" x14ac:dyDescent="0.25">
      <c r="A31" s="35" t="str">
        <f>D5&amp;D31</f>
        <v>ITOther Non-MDM Impacted Work</v>
      </c>
      <c r="C31" s="35"/>
      <c r="D31" s="240" t="s">
        <v>40</v>
      </c>
      <c r="E31" s="245">
        <f>1-SUM(E29,E17)</f>
        <v>0.19999999999999996</v>
      </c>
      <c r="F31" s="214">
        <f>IFERROR(IF(D31="",0,E31*VLOOKUP($D$5,'0. Control Panel'!$C$7:$E$16,3,FALSE)),0)</f>
        <v>29.699999999999992</v>
      </c>
      <c r="G31" s="180"/>
      <c r="H31" s="246"/>
    </row>
    <row r="32" spans="1:9" ht="6" customHeight="1" x14ac:dyDescent="0.25"/>
    <row r="33" spans="1:11" ht="16.5" thickBot="1" x14ac:dyDescent="0.3">
      <c r="D33" s="247" t="str">
        <f>+"Grand Total for "&amp;D5</f>
        <v>Grand Total for IT</v>
      </c>
      <c r="E33" s="248">
        <f>SUM(E17,E29,E31)</f>
        <v>1</v>
      </c>
      <c r="F33" s="249">
        <f>SUM(F17,F29,F31)</f>
        <v>148.5</v>
      </c>
      <c r="G33" s="250"/>
      <c r="H33" s="251">
        <f>SUM(H17,H29)</f>
        <v>5553900</v>
      </c>
    </row>
    <row r="34" spans="1:11" ht="16.5" thickTop="1" x14ac:dyDescent="0.25">
      <c r="D34" s="68"/>
      <c r="E34" s="252"/>
      <c r="F34" s="253"/>
      <c r="G34" s="254"/>
      <c r="H34" s="255"/>
    </row>
    <row r="35" spans="1:11" x14ac:dyDescent="0.25">
      <c r="D35" s="256" t="str">
        <f>IFERROR("Total FTE of "&amp;D36&amp;": "&amp;VLOOKUP('1. FTE Allocations'!$D36,'0. Control Panel'!$C$7:$E$11,3,FALSE),"")</f>
        <v>Total FTE of Sales: 418.5</v>
      </c>
    </row>
    <row r="36" spans="1:11" s="74" customFormat="1" ht="31.5" x14ac:dyDescent="0.25">
      <c r="C36" s="187">
        <f>C5+1</f>
        <v>2</v>
      </c>
      <c r="D36" s="203" t="str">
        <f>IF(INDEX('0. Control Panel'!$B$6:$C$16,MATCH('1. FTE Allocations'!$C36,'0. Control Panel'!$B$6:$B$16,0),2)=0,"-",INDEX('0. Control Panel'!$B$6:$C$16,MATCH('1. FTE Allocations'!$C36,'0. Control Panel'!$B$6:$B$16,0),2))</f>
        <v>Sales</v>
      </c>
      <c r="E36" s="72" t="str">
        <f>"(% ) of "&amp;D36&amp;" FTE working on:"</f>
        <v>(% ) of Sales FTE working on:</v>
      </c>
      <c r="F36" s="232" t="s">
        <v>33</v>
      </c>
      <c r="G36" s="72" t="s">
        <v>37</v>
      </c>
      <c r="H36" s="72" t="s">
        <v>38</v>
      </c>
      <c r="K36" s="278"/>
    </row>
    <row r="37" spans="1:11" x14ac:dyDescent="0.25">
      <c r="D37" s="233" t="str">
        <f>'0. Control Panel'!$C$19</f>
        <v>Customer Process</v>
      </c>
    </row>
    <row r="38" spans="1:11" x14ac:dyDescent="0.25">
      <c r="A38" s="35" t="str">
        <f t="shared" ref="A38:A47" si="4">$D$36&amp;C38</f>
        <v>SalesC1</v>
      </c>
      <c r="C38" s="234" t="str">
        <f>IF('0. Control Panel'!$C$20="","",'0. Control Panel'!$B$20)</f>
        <v>C1</v>
      </c>
      <c r="D38" s="235" t="str">
        <f>IF(C38="-","-",INDEX('0. Control Panel'!$B$19:$K$29,MATCH('1. FTE Allocations'!$C38,'0. Control Panel'!$B$19:$B$29,0),MATCH(D$6,'0. Control Panel'!$B$19:$K$19,0)))</f>
        <v>Increased Customer Retention</v>
      </c>
      <c r="E38" s="283">
        <v>0.3</v>
      </c>
      <c r="F38" s="209">
        <f>IFERROR(IF(D38="",0,E38*VLOOKUP($D$36,'0. Control Panel'!$C$7:$E$16,3,FALSE)),0)</f>
        <v>125.55</v>
      </c>
      <c r="G38" s="283">
        <v>1</v>
      </c>
      <c r="H38" s="236">
        <f>IFERROR(IF(D38="",0,F38*VLOOKUP($D$5,'0. Control Panel'!$C$7:$F$16,4,FALSE)*G38),0)</f>
        <v>6905250</v>
      </c>
      <c r="I38" s="35">
        <f>IF(OR(AND(E38&lt;&gt;0,G38=0),AND(E38=0,G38&lt;&gt;0))=TRUE,1,0)</f>
        <v>0</v>
      </c>
    </row>
    <row r="39" spans="1:11" x14ac:dyDescent="0.25">
      <c r="A39" s="35" t="str">
        <f t="shared" si="4"/>
        <v>SalesC2</v>
      </c>
      <c r="C39" s="237" t="str">
        <f>IF('0. Control Panel'!$C$21="","-",'0. Control Panel'!$B$21)</f>
        <v>C2</v>
      </c>
      <c r="D39" s="238" t="str">
        <f>IF(C39="-","-",INDEX('0. Control Panel'!$B$19:$K$29,MATCH('1. FTE Allocations'!$C39,'0. Control Panel'!$B$19:$B$29,0),MATCH(D$6,'0. Control Panel'!$B$19:$K$19,0)))</f>
        <v>Reduced Sales Order Errors</v>
      </c>
      <c r="E39" s="283">
        <v>0.1</v>
      </c>
      <c r="F39" s="209">
        <f>IFERROR(IF(D39="",0,E39*VLOOKUP($D$36,'0. Control Panel'!$C$7:$E$16,3,FALSE)),0)</f>
        <v>41.85</v>
      </c>
      <c r="G39" s="283">
        <v>1</v>
      </c>
      <c r="H39" s="236">
        <f>IFERROR(IF(D39="",0,F39*VLOOKUP($D$5,'0. Control Panel'!$C$7:$F$16,4,FALSE)*G39),0)</f>
        <v>2301750</v>
      </c>
      <c r="I39" s="35">
        <f t="shared" ref="I39:I47" si="5">IF(OR(AND(E39&lt;&gt;0,G39=0),AND(E39=0,G39&lt;&gt;0))=TRUE,1,0)</f>
        <v>0</v>
      </c>
    </row>
    <row r="40" spans="1:11" x14ac:dyDescent="0.25">
      <c r="A40" s="35" t="str">
        <f t="shared" si="4"/>
        <v>SalesC3</v>
      </c>
      <c r="C40" s="237" t="str">
        <f>IF('0. Control Panel'!$C$22="","-",'0. Control Panel'!$B$22)</f>
        <v>C3</v>
      </c>
      <c r="D40" s="238" t="str">
        <f>IF(C40="-","-",INDEX('0. Control Panel'!$B$19:$K$29,MATCH('1. FTE Allocations'!$C40,'0. Control Panel'!$B$19:$B$29,0),MATCH(D$6,'0. Control Panel'!$B$19:$K$19,0)))</f>
        <v>Reduced Sales Cycle Time</v>
      </c>
      <c r="E40" s="283">
        <v>0.1</v>
      </c>
      <c r="F40" s="209">
        <f>IFERROR(IF(D40="",0,E40*VLOOKUP($D$36,'0. Control Panel'!$C$7:$E$16,3,FALSE)),0)</f>
        <v>41.85</v>
      </c>
      <c r="G40" s="283">
        <v>1</v>
      </c>
      <c r="H40" s="236">
        <f>IFERROR(IF(D40="",0,F40*VLOOKUP($D$5,'0. Control Panel'!$C$7:$F$16,4,FALSE)*G40),0)</f>
        <v>2301750</v>
      </c>
      <c r="I40" s="35">
        <f t="shared" si="5"/>
        <v>0</v>
      </c>
    </row>
    <row r="41" spans="1:11" x14ac:dyDescent="0.25">
      <c r="A41" s="35" t="str">
        <f t="shared" si="4"/>
        <v>SalesC4</v>
      </c>
      <c r="C41" s="237" t="str">
        <f>IF('0. Control Panel'!$C$23="","-",'0. Control Panel'!$B$23)</f>
        <v>C4</v>
      </c>
      <c r="D41" s="238" t="str">
        <f>IF(C41="-","-",INDEX('0. Control Panel'!$B$19:$K$29,MATCH('1. FTE Allocations'!$C41,'0. Control Panel'!$B$19:$B$29,0),MATCH(D$6,'0. Control Panel'!$B$19:$K$19,0)))</f>
        <v>Increased Cross-Sell / Up-Sell</v>
      </c>
      <c r="E41" s="283">
        <v>0.3</v>
      </c>
      <c r="F41" s="209">
        <f>IFERROR(IF(D41="",0,E41*VLOOKUP($D$36,'0. Control Panel'!$C$7:$E$16,3,FALSE)),0)</f>
        <v>125.55</v>
      </c>
      <c r="G41" s="283">
        <v>0.5</v>
      </c>
      <c r="H41" s="236">
        <f>IFERROR(IF(D41="",0,F41*VLOOKUP($D$5,'0. Control Panel'!$C$7:$F$16,4,FALSE)*G41),0)</f>
        <v>3452625</v>
      </c>
      <c r="I41" s="35">
        <f t="shared" si="5"/>
        <v>0</v>
      </c>
    </row>
    <row r="42" spans="1:11" x14ac:dyDescent="0.25">
      <c r="A42" s="35" t="str">
        <f t="shared" si="4"/>
        <v>SalesC5</v>
      </c>
      <c r="C42" s="237" t="str">
        <f>IF('0. Control Panel'!$C$24="","-",'0. Control Panel'!$B$24)</f>
        <v>C5</v>
      </c>
      <c r="D42" s="238" t="str">
        <f>IF(C42="-","-",INDEX('0. Control Panel'!$B$19:$K$29,MATCH('1. FTE Allocations'!$C42,'0. Control Panel'!$B$19:$B$29,0),MATCH(D$6,'0. Control Panel'!$B$19:$K$19,0)))</f>
        <v>Improved Marketing Response Rate</v>
      </c>
      <c r="E42" s="283">
        <v>0.1</v>
      </c>
      <c r="F42" s="209">
        <f>IFERROR(IF(D42="",0,E42*VLOOKUP($D$36,'0. Control Panel'!$C$7:$E$16,3,FALSE)),0)</f>
        <v>41.85</v>
      </c>
      <c r="G42" s="283">
        <v>0.5</v>
      </c>
      <c r="H42" s="236">
        <f>IFERROR(IF(D42="",0,F42*VLOOKUP($D$5,'0. Control Panel'!$C$7:$F$16,4,FALSE)*G42),0)</f>
        <v>1150875</v>
      </c>
      <c r="I42" s="35">
        <f t="shared" si="5"/>
        <v>0</v>
      </c>
    </row>
    <row r="43" spans="1:11" x14ac:dyDescent="0.25">
      <c r="A43" s="35" t="str">
        <f t="shared" si="4"/>
        <v>SalesC6</v>
      </c>
      <c r="C43" s="237" t="str">
        <f>IF('0. Control Panel'!$C$25="","-",'0. Control Panel'!$B$25)</f>
        <v>C6</v>
      </c>
      <c r="D43" s="238" t="str">
        <f>IF(C43="-","-",INDEX('0. Control Panel'!$B$19:$K$29,MATCH('1. FTE Allocations'!$C43,'0. Control Panel'!$B$19:$B$29,0),MATCH(D$6,'0. Control Panel'!$B$19:$K$19,0)))</f>
        <v>Call Center Efficiency</v>
      </c>
      <c r="E43" s="283">
        <v>0</v>
      </c>
      <c r="F43" s="209">
        <f>IFERROR(IF(D43="",0,E43*VLOOKUP($D$36,'0. Control Panel'!$C$7:$E$16,3,FALSE)),0)</f>
        <v>0</v>
      </c>
      <c r="G43" s="283">
        <v>0</v>
      </c>
      <c r="H43" s="236">
        <f>IFERROR(IF(D43="",0,F43*VLOOKUP($D$5,'0. Control Panel'!$C$7:$F$16,4,FALSE)*G43),0)</f>
        <v>0</v>
      </c>
      <c r="I43" s="35">
        <f t="shared" si="5"/>
        <v>0</v>
      </c>
    </row>
    <row r="44" spans="1:11" x14ac:dyDescent="0.25">
      <c r="A44" s="35" t="str">
        <f t="shared" si="4"/>
        <v>SalesC7</v>
      </c>
      <c r="C44" s="237" t="str">
        <f>IF('0. Control Panel'!$C$26="","-",'0. Control Panel'!$B$26)</f>
        <v>C7</v>
      </c>
      <c r="D44" s="238" t="str">
        <f>IF(C44="-","-",INDEX('0. Control Panel'!$B$19:$K$29,MATCH('1. FTE Allocations'!$C44,'0. Control Panel'!$B$19:$B$29,0),MATCH(D$6,'0. Control Panel'!$B$19:$K$19,0)))</f>
        <v>Economies of Scale (M&amp;A)</v>
      </c>
      <c r="E44" s="283">
        <v>0</v>
      </c>
      <c r="F44" s="209">
        <f>IFERROR(IF(D44="",0,E44*VLOOKUP($D$36,'0. Control Panel'!$C$7:$E$16,3,FALSE)),0)</f>
        <v>0</v>
      </c>
      <c r="G44" s="283">
        <v>0</v>
      </c>
      <c r="H44" s="236">
        <f>IFERROR(IF(D44="",0,F44*VLOOKUP($D$5,'0. Control Panel'!$C$7:$F$16,4,FALSE)*G44),0)</f>
        <v>0</v>
      </c>
      <c r="I44" s="35">
        <f t="shared" si="5"/>
        <v>0</v>
      </c>
    </row>
    <row r="45" spans="1:11" x14ac:dyDescent="0.25">
      <c r="A45" s="35" t="str">
        <f t="shared" si="4"/>
        <v>Sales-</v>
      </c>
      <c r="C45" s="237" t="str">
        <f>IF('0. Control Panel'!$C$27="","-",'0. Control Panel'!$B$27)</f>
        <v>-</v>
      </c>
      <c r="D45" s="238" t="str">
        <f>IF(C45="-","-",INDEX('0. Control Panel'!$B$19:$K$29,MATCH('1. FTE Allocations'!$C45,'0. Control Panel'!$B$19:$B$29,0),MATCH(D$6,'0. Control Panel'!$B$19:$K$19,0)))</f>
        <v>-</v>
      </c>
      <c r="E45" s="283">
        <v>0</v>
      </c>
      <c r="F45" s="209">
        <f>IFERROR(IF(D45="",0,E45*VLOOKUP($D$36,'0. Control Panel'!$C$7:$E$16,3,FALSE)),0)</f>
        <v>0</v>
      </c>
      <c r="G45" s="283">
        <v>0</v>
      </c>
      <c r="H45" s="236">
        <f>IFERROR(IF(D45="",0,F45*VLOOKUP($D$5,'0. Control Panel'!$C$7:$F$16,4,FALSE)*G45),0)</f>
        <v>0</v>
      </c>
      <c r="I45" s="35">
        <f t="shared" si="5"/>
        <v>0</v>
      </c>
    </row>
    <row r="46" spans="1:11" x14ac:dyDescent="0.25">
      <c r="A46" s="35" t="str">
        <f t="shared" si="4"/>
        <v>Sales-</v>
      </c>
      <c r="C46" s="237" t="str">
        <f>IF('0. Control Panel'!$C$28="","-",'0. Control Panel'!$B$28)</f>
        <v>-</v>
      </c>
      <c r="D46" s="238" t="str">
        <f>IF(C46="-","-",INDEX('0. Control Panel'!$B$19:$K$29,MATCH('1. FTE Allocations'!$C46,'0. Control Panel'!$B$19:$B$29,0),MATCH(D$6,'0. Control Panel'!$B$19:$K$19,0)))</f>
        <v>-</v>
      </c>
      <c r="E46" s="283">
        <v>0</v>
      </c>
      <c r="F46" s="209">
        <f>IFERROR(IF(D46="",0,E46*VLOOKUP($D$36,'0. Control Panel'!$C$7:$E$16,3,FALSE)),0)</f>
        <v>0</v>
      </c>
      <c r="G46" s="283">
        <v>0</v>
      </c>
      <c r="H46" s="236">
        <f>IFERROR(IF(D46="",0,F46*VLOOKUP($D$5,'0. Control Panel'!$C$7:$F$16,4,FALSE)*G46),0)</f>
        <v>0</v>
      </c>
      <c r="I46" s="35">
        <f t="shared" si="5"/>
        <v>0</v>
      </c>
    </row>
    <row r="47" spans="1:11" x14ac:dyDescent="0.25">
      <c r="A47" s="35" t="str">
        <f t="shared" si="4"/>
        <v>Sales-</v>
      </c>
      <c r="C47" s="239" t="str">
        <f>IF('0. Control Panel'!$C$29="","-",'0. Control Panel'!$B$29)</f>
        <v>-</v>
      </c>
      <c r="D47" s="240" t="str">
        <f>IF(C47="-","-",INDEX('0. Control Panel'!$B$19:$K$29,MATCH('1. FTE Allocations'!$C47,'0. Control Panel'!$B$19:$B$29,0),MATCH(D$6,'0. Control Panel'!$B$19:$K$19,0)))</f>
        <v>-</v>
      </c>
      <c r="E47" s="284">
        <v>0</v>
      </c>
      <c r="F47" s="209">
        <f>IFERROR(IF(D47="",0,E47*VLOOKUP($D$36,'0. Control Panel'!$C$7:$E$16,3,FALSE)),0)</f>
        <v>0</v>
      </c>
      <c r="G47" s="284">
        <v>0</v>
      </c>
      <c r="H47" s="236">
        <f>IFERROR(IF(D47="",0,F47*VLOOKUP($D$5,'0. Control Panel'!$C$7:$F$16,4,FALSE)*G47),0)</f>
        <v>0</v>
      </c>
      <c r="I47" s="35">
        <f t="shared" si="5"/>
        <v>0</v>
      </c>
    </row>
    <row r="48" spans="1:11" x14ac:dyDescent="0.25">
      <c r="D48" s="241" t="s">
        <v>32</v>
      </c>
      <c r="E48" s="242">
        <f>SUM(E38:E47)</f>
        <v>0.9</v>
      </c>
      <c r="F48" s="243">
        <f>SUM(F38:F47)</f>
        <v>376.65000000000003</v>
      </c>
      <c r="G48" s="242"/>
      <c r="H48" s="244">
        <f>SUM(H38:H47)</f>
        <v>16112250</v>
      </c>
    </row>
    <row r="49" spans="1:9" x14ac:dyDescent="0.25">
      <c r="D49" s="233" t="str">
        <f>'0. Control Panel'!$C$31</f>
        <v>Product Process</v>
      </c>
    </row>
    <row r="50" spans="1:9" x14ac:dyDescent="0.25">
      <c r="A50" s="35" t="str">
        <f t="shared" ref="A50:A59" si="6">$D$36&amp;C50</f>
        <v>SalesP1</v>
      </c>
      <c r="C50" s="234" t="str">
        <f>IF('0. Control Panel'!$C$32="","-",'0. Control Panel'!$B$32)</f>
        <v>P1</v>
      </c>
      <c r="D50" s="240" t="str">
        <f>IF(C50="-","-",INDEX('0. Control Panel'!$B$31:$K$41,MATCH('1. FTE Allocations'!$C50,'0. Control Panel'!$B$31:$B$41,0),MATCH(D$18,'0. Control Panel'!$B$31:$K$31,0)))</f>
        <v>Reduced Data Management Costs</v>
      </c>
      <c r="E50" s="282">
        <v>0</v>
      </c>
      <c r="F50" s="209">
        <f>IFERROR(IF(D50="",0,E50*VLOOKUP($D$36,'0. Control Panel'!$C$7:$E$16,3,FALSE)),0)</f>
        <v>0</v>
      </c>
      <c r="G50" s="282">
        <v>0</v>
      </c>
      <c r="H50" s="236">
        <f>IFERROR(IF(D50="",0,F50*VLOOKUP($D$5,'0. Control Panel'!$C$7:$F$16,4,FALSE)*G50),0)</f>
        <v>0</v>
      </c>
      <c r="I50" s="35">
        <f>IF(OR(AND(E50&lt;&gt;0,G50=0),AND(E50=0,G50&lt;&gt;0))=TRUE,1,0)</f>
        <v>0</v>
      </c>
    </row>
    <row r="51" spans="1:9" x14ac:dyDescent="0.25">
      <c r="A51" s="35" t="str">
        <f t="shared" si="6"/>
        <v>SalesP2</v>
      </c>
      <c r="C51" s="237" t="str">
        <f>IF('0. Control Panel'!$C$33="","-",'0. Control Panel'!$B$33)</f>
        <v>P2</v>
      </c>
      <c r="D51" s="240" t="str">
        <f>IF(C51="-","-",INDEX('0. Control Panel'!$B$31:$K$41,MATCH('1. FTE Allocations'!$C51,'0. Control Panel'!$B$31:$B$41,0),MATCH(D$18,'0. Control Panel'!$B$31:$K$31,0)))</f>
        <v>Reduced Report Generation Cost</v>
      </c>
      <c r="E51" s="283">
        <v>0</v>
      </c>
      <c r="F51" s="209">
        <f>IFERROR(IF(D51="",0,E51*VLOOKUP($D$36,'0. Control Panel'!$C$7:$E$16,3,FALSE)),0)</f>
        <v>0</v>
      </c>
      <c r="G51" s="283">
        <v>0</v>
      </c>
      <c r="H51" s="236">
        <f>IFERROR(IF(D51="",0,F51*VLOOKUP($D$5,'0. Control Panel'!$C$7:$F$16,4,FALSE)*G51),0)</f>
        <v>0</v>
      </c>
      <c r="I51" s="35">
        <f t="shared" ref="I51:I59" si="7">IF(OR(AND(E51&lt;&gt;0,G51=0),AND(E51=0,G51&lt;&gt;0))=TRUE,1,0)</f>
        <v>0</v>
      </c>
    </row>
    <row r="52" spans="1:9" x14ac:dyDescent="0.25">
      <c r="A52" s="35" t="str">
        <f t="shared" si="6"/>
        <v>SalesP3</v>
      </c>
      <c r="C52" s="237" t="str">
        <f>IF('0. Control Panel'!$C$34="","-",'0. Control Panel'!$B$34)</f>
        <v>P3</v>
      </c>
      <c r="D52" s="240" t="str">
        <f>IF(C52="-","-",INDEX('0. Control Panel'!$B$31:$K$41,MATCH('1. FTE Allocations'!$C52,'0. Control Panel'!$B$31:$B$41,0),MATCH(D$18,'0. Control Panel'!$B$31:$K$31,0)))</f>
        <v>Reduced Integration Costs</v>
      </c>
      <c r="E52" s="283">
        <v>0</v>
      </c>
      <c r="F52" s="209">
        <f>IFERROR(IF(D52="",0,E52*VLOOKUP($D$36,'0. Control Panel'!$C$7:$E$16,3,FALSE)),0)</f>
        <v>0</v>
      </c>
      <c r="G52" s="283">
        <v>0</v>
      </c>
      <c r="H52" s="236">
        <f>IFERROR(IF(D52="",0,F52*VLOOKUP($D$5,'0. Control Panel'!$C$7:$F$16,4,FALSE)*G52),0)</f>
        <v>0</v>
      </c>
      <c r="I52" s="35">
        <f t="shared" si="7"/>
        <v>0</v>
      </c>
    </row>
    <row r="53" spans="1:9" x14ac:dyDescent="0.25">
      <c r="A53" s="35" t="str">
        <f t="shared" si="6"/>
        <v>SalesP4</v>
      </c>
      <c r="C53" s="237" t="str">
        <f>IF('0. Control Panel'!$C$35="","-",'0. Control Panel'!$B$35)</f>
        <v>P4</v>
      </c>
      <c r="D53" s="240" t="str">
        <f>IF(C53="-","-",INDEX('0. Control Panel'!$B$31:$K$41,MATCH('1. FTE Allocations'!$C53,'0. Control Panel'!$B$31:$B$41,0),MATCH(D$18,'0. Control Panel'!$B$31:$K$31,0)))</f>
        <v>Reduced Marketing Costs</v>
      </c>
      <c r="E53" s="283">
        <v>0.1</v>
      </c>
      <c r="F53" s="209">
        <f>IFERROR(IF(D53="",0,E53*VLOOKUP($D$36,'0. Control Panel'!$C$7:$E$16,3,FALSE)),0)</f>
        <v>41.85</v>
      </c>
      <c r="G53" s="283">
        <v>0.5</v>
      </c>
      <c r="H53" s="236">
        <f>IFERROR(IF(D53="",0,F53*VLOOKUP($D$5,'0. Control Panel'!$C$7:$F$16,4,FALSE)*G53),0)</f>
        <v>1150875</v>
      </c>
      <c r="I53" s="35">
        <f t="shared" si="7"/>
        <v>0</v>
      </c>
    </row>
    <row r="54" spans="1:9" x14ac:dyDescent="0.25">
      <c r="A54" s="35" t="str">
        <f t="shared" si="6"/>
        <v>SalesP5</v>
      </c>
      <c r="C54" s="237" t="str">
        <f>IF('0. Control Panel'!$C$36="","-",'0. Control Panel'!$B$36)</f>
        <v>P5</v>
      </c>
      <c r="D54" s="240" t="str">
        <f>IF(C54="-","-",INDEX('0. Control Panel'!$B$31:$K$41,MATCH('1. FTE Allocations'!$C54,'0. Control Panel'!$B$31:$B$41,0),MATCH(D$18,'0. Control Panel'!$B$31:$K$31,0)))</f>
        <v>Reduced Time to Take New Product to Market</v>
      </c>
      <c r="E54" s="283">
        <v>0</v>
      </c>
      <c r="F54" s="209">
        <f>IFERROR(IF(D54="",0,E54*VLOOKUP($D$36,'0. Control Panel'!$C$7:$E$16,3,FALSE)),0)</f>
        <v>0</v>
      </c>
      <c r="G54" s="283">
        <v>0</v>
      </c>
      <c r="H54" s="236">
        <f>IFERROR(IF(D54="",0,F54*VLOOKUP($D$5,'0. Control Panel'!$C$7:$F$16,4,FALSE)*G54),0)</f>
        <v>0</v>
      </c>
      <c r="I54" s="35">
        <f t="shared" si="7"/>
        <v>0</v>
      </c>
    </row>
    <row r="55" spans="1:9" x14ac:dyDescent="0.25">
      <c r="A55" s="35" t="str">
        <f t="shared" si="6"/>
        <v>SalesP6</v>
      </c>
      <c r="C55" s="237" t="str">
        <f>IF('0. Control Panel'!$C$37="","-",'0. Control Panel'!$B$37)</f>
        <v>P6</v>
      </c>
      <c r="D55" s="240" t="str">
        <f>IF(C55="-","-",INDEX('0. Control Panel'!$B$31:$K$41,MATCH('1. FTE Allocations'!$C55,'0. Control Panel'!$B$31:$B$41,0),MATCH(D$18,'0. Control Panel'!$B$31:$K$31,0)))</f>
        <v>Reduced Credit Risk Costs</v>
      </c>
      <c r="E55" s="283">
        <v>0</v>
      </c>
      <c r="F55" s="209">
        <f>IFERROR(IF(D55="",0,E55*VLOOKUP($D$36,'0. Control Panel'!$C$7:$E$16,3,FALSE)),0)</f>
        <v>0</v>
      </c>
      <c r="G55" s="283">
        <v>0</v>
      </c>
      <c r="H55" s="236">
        <f>IFERROR(IF(D55="",0,F55*VLOOKUP($D$5,'0. Control Panel'!$C$7:$F$16,4,FALSE)*G55),0)</f>
        <v>0</v>
      </c>
      <c r="I55" s="35">
        <f t="shared" si="7"/>
        <v>0</v>
      </c>
    </row>
    <row r="56" spans="1:9" x14ac:dyDescent="0.25">
      <c r="A56" s="35" t="str">
        <f t="shared" si="6"/>
        <v>SalesP7</v>
      </c>
      <c r="C56" s="237" t="str">
        <f>IF('0. Control Panel'!$C$38="","-",'0. Control Panel'!$B$38)</f>
        <v>P7</v>
      </c>
      <c r="D56" s="240" t="str">
        <f>IF(C56="-","-",INDEX('0. Control Panel'!$B$31:$K$41,MATCH('1. FTE Allocations'!$C56,'0. Control Panel'!$B$31:$B$41,0),MATCH(D$18,'0. Control Panel'!$B$31:$K$31,0)))</f>
        <v>Reduced Non-Compliance Risk  Costs</v>
      </c>
      <c r="E56" s="283">
        <v>0</v>
      </c>
      <c r="F56" s="209">
        <f>IFERROR(IF(D56="",0,E56*VLOOKUP($D$36,'0. Control Panel'!$C$7:$E$16,3,FALSE)),0)</f>
        <v>0</v>
      </c>
      <c r="G56" s="283">
        <v>0</v>
      </c>
      <c r="H56" s="236">
        <f>IFERROR(IF(D56="",0,F56*VLOOKUP($D$5,'0. Control Panel'!$C$7:$F$16,4,FALSE)*G56),0)</f>
        <v>0</v>
      </c>
      <c r="I56" s="35">
        <f t="shared" si="7"/>
        <v>0</v>
      </c>
    </row>
    <row r="57" spans="1:9" x14ac:dyDescent="0.25">
      <c r="A57" s="35" t="str">
        <f t="shared" si="6"/>
        <v>Sales-</v>
      </c>
      <c r="C57" s="237" t="str">
        <f>IF('0. Control Panel'!C64="","-",'0. Control Panel'!B68)</f>
        <v>-</v>
      </c>
      <c r="D57" s="240" t="str">
        <f>IF(C57="-","-",INDEX('0. Control Panel'!$B$31:$K$41,MATCH('1. FTE Allocations'!$C57,'0. Control Panel'!$B$31:$B$41,0),MATCH(D$18,'0. Control Panel'!$B$31:$K$31,0)))</f>
        <v>-</v>
      </c>
      <c r="E57" s="283">
        <v>0</v>
      </c>
      <c r="F57" s="209">
        <f>IFERROR(IF(D57="",0,E57*VLOOKUP($D$36,'0. Control Panel'!$C$7:$E$16,3,FALSE)),0)</f>
        <v>0</v>
      </c>
      <c r="G57" s="283">
        <v>0</v>
      </c>
      <c r="H57" s="236">
        <f>IFERROR(IF(D57="",0,F57*VLOOKUP($D$5,'0. Control Panel'!$C$7:$F$16,4,FALSE)*G57),0)</f>
        <v>0</v>
      </c>
      <c r="I57" s="35">
        <f t="shared" si="7"/>
        <v>0</v>
      </c>
    </row>
    <row r="58" spans="1:9" x14ac:dyDescent="0.25">
      <c r="A58" s="35" t="str">
        <f t="shared" si="6"/>
        <v>Sales-</v>
      </c>
      <c r="C58" s="237" t="str">
        <f>IF('0. Control Panel'!C65="","-",'0. Control Panel'!B69)</f>
        <v>-</v>
      </c>
      <c r="D58" s="240" t="str">
        <f>IF(C58="-","-",INDEX('0. Control Panel'!$B$31:$K$41,MATCH('1. FTE Allocations'!$C58,'0. Control Panel'!$B$31:$B$41,0),MATCH(D$18,'0. Control Panel'!$B$31:$K$31,0)))</f>
        <v>-</v>
      </c>
      <c r="E58" s="283">
        <v>0</v>
      </c>
      <c r="F58" s="209">
        <f>IFERROR(IF(D58="",0,E58*VLOOKUP($D$36,'0. Control Panel'!$C$7:$E$16,3,FALSE)),0)</f>
        <v>0</v>
      </c>
      <c r="G58" s="283">
        <v>0</v>
      </c>
      <c r="H58" s="236">
        <f>IFERROR(IF(D58="",0,F58*VLOOKUP($D$5,'0. Control Panel'!$C$7:$F$16,4,FALSE)*G58),0)</f>
        <v>0</v>
      </c>
      <c r="I58" s="35">
        <f t="shared" si="7"/>
        <v>0</v>
      </c>
    </row>
    <row r="59" spans="1:9" x14ac:dyDescent="0.25">
      <c r="A59" s="35" t="str">
        <f t="shared" si="6"/>
        <v>Sales-</v>
      </c>
      <c r="C59" s="239" t="str">
        <f>IF('0. Control Panel'!C66="","-",'0. Control Panel'!B70)</f>
        <v>-</v>
      </c>
      <c r="D59" s="240" t="str">
        <f>IF(C59="-","-",INDEX('0. Control Panel'!$B$31:$K$41,MATCH('1. FTE Allocations'!$C59,'0. Control Panel'!$B$31:$B$41,0),MATCH(D$18,'0. Control Panel'!$B$31:$K$31,0)))</f>
        <v>-</v>
      </c>
      <c r="E59" s="284">
        <v>0</v>
      </c>
      <c r="F59" s="209">
        <f>IFERROR(IF(D59="",0,E59*VLOOKUP($D$36,'0. Control Panel'!$C$7:$E$16,3,FALSE)),0)</f>
        <v>0</v>
      </c>
      <c r="G59" s="284">
        <v>0</v>
      </c>
      <c r="H59" s="236">
        <f>IFERROR(IF(D59="",0,F59*VLOOKUP($D$5,'0. Control Panel'!$C$7:$F$16,4,FALSE)*G59),0)</f>
        <v>0</v>
      </c>
      <c r="I59" s="35">
        <f t="shared" si="7"/>
        <v>0</v>
      </c>
    </row>
    <row r="60" spans="1:9" x14ac:dyDescent="0.25">
      <c r="D60" s="241" t="s">
        <v>32</v>
      </c>
      <c r="E60" s="242">
        <f>SUM(E50:E59)</f>
        <v>0.1</v>
      </c>
      <c r="F60" s="243">
        <f>SUM(F50:F59)</f>
        <v>41.85</v>
      </c>
      <c r="G60" s="242"/>
      <c r="H60" s="244">
        <f>SUM(H50:H59)</f>
        <v>1150875</v>
      </c>
    </row>
    <row r="61" spans="1:9" ht="6" customHeight="1" x14ac:dyDescent="0.25"/>
    <row r="62" spans="1:9" x14ac:dyDescent="0.25">
      <c r="C62" s="35"/>
      <c r="D62" s="240" t="s">
        <v>40</v>
      </c>
      <c r="E62" s="245">
        <f>1-SUM(E60,E48)</f>
        <v>0</v>
      </c>
      <c r="F62" s="214">
        <f>IFERROR(IF(D62="",0,E62*VLOOKUP($D$5,'0. Control Panel'!$C$7:$E$16,3,FALSE)),0)</f>
        <v>0</v>
      </c>
      <c r="G62" s="180"/>
      <c r="H62" s="246"/>
    </row>
    <row r="63" spans="1:9" ht="6" customHeight="1" x14ac:dyDescent="0.25"/>
    <row r="64" spans="1:9" ht="16.5" thickBot="1" x14ac:dyDescent="0.3">
      <c r="D64" s="247" t="str">
        <f>+"Grand Total for "&amp;D36</f>
        <v>Grand Total for Sales</v>
      </c>
      <c r="E64" s="248">
        <f>SUM(E48,E60,E62)</f>
        <v>1</v>
      </c>
      <c r="F64" s="249">
        <f>SUM(F48,F60,F62)</f>
        <v>418.50000000000006</v>
      </c>
      <c r="G64" s="250"/>
      <c r="H64" s="251">
        <f>SUM(H48,H60)</f>
        <v>17263125</v>
      </c>
    </row>
    <row r="65" spans="1:11" ht="16.5" thickTop="1" x14ac:dyDescent="0.25"/>
    <row r="66" spans="1:11" x14ac:dyDescent="0.25">
      <c r="D66" s="256" t="str">
        <f>IFERROR("Total FTE of "&amp;D67&amp;": "&amp;VLOOKUP('1. FTE Allocations'!$D67,'0. Control Panel'!$C$7:$E$11,3,FALSE),"")</f>
        <v>Total FTE of Product A: 229.5</v>
      </c>
    </row>
    <row r="67" spans="1:11" s="74" customFormat="1" ht="31.5" x14ac:dyDescent="0.25">
      <c r="C67" s="187">
        <f>C36+1</f>
        <v>3</v>
      </c>
      <c r="D67" s="203" t="str">
        <f>IF(INDEX('0. Control Panel'!$B$6:$C$16,MATCH('1. FTE Allocations'!$C67,'0. Control Panel'!$B$6:$B$16,0),2)=0,"-",INDEX('0. Control Panel'!$B$6:$C$16,MATCH('1. FTE Allocations'!$C67,'0. Control Panel'!$B$6:$B$16,0),2))</f>
        <v>Product A</v>
      </c>
      <c r="E67" s="72" t="str">
        <f>"(% ) of "&amp;D67&amp;" FTE working on:"</f>
        <v>(% ) of Product A FTE working on:</v>
      </c>
      <c r="F67" s="232" t="s">
        <v>33</v>
      </c>
      <c r="G67" s="72" t="s">
        <v>37</v>
      </c>
      <c r="H67" s="72" t="s">
        <v>38</v>
      </c>
      <c r="K67" s="278"/>
    </row>
    <row r="68" spans="1:11" x14ac:dyDescent="0.25">
      <c r="D68" s="233" t="str">
        <f>'0. Control Panel'!$C$19</f>
        <v>Customer Process</v>
      </c>
    </row>
    <row r="69" spans="1:11" x14ac:dyDescent="0.25">
      <c r="A69" s="35" t="str">
        <f>$D$67&amp;C69</f>
        <v>Product AC1</v>
      </c>
      <c r="C69" s="234" t="str">
        <f>IF('0. Control Panel'!$C$20="","",'0. Control Panel'!$B$20)</f>
        <v>C1</v>
      </c>
      <c r="D69" s="235" t="str">
        <f>IF(C69="-","-",INDEX('0. Control Panel'!$B$19:$K$29,MATCH('1. FTE Allocations'!$C69,'0. Control Panel'!$B$19:$B$29,0),MATCH(D$6,'0. Control Panel'!$B$19:$K$19,0)))</f>
        <v>Increased Customer Retention</v>
      </c>
      <c r="E69" s="282">
        <v>0.1</v>
      </c>
      <c r="F69" s="209">
        <f>IFERROR(IF(D69="",0,E69*VLOOKUP($D$67,'0. Control Panel'!$C$7:$E$16,3,FALSE)),0)</f>
        <v>22.950000000000003</v>
      </c>
      <c r="G69" s="282">
        <v>0.5</v>
      </c>
      <c r="H69" s="236">
        <f>IFERROR(IF(D69="",0,F69*VLOOKUP($D$5,'0. Control Panel'!$C$7:$F$16,4,FALSE)*G69),0)</f>
        <v>631125.00000000012</v>
      </c>
      <c r="I69" s="35">
        <f>IF(OR(AND(E69&lt;&gt;0,G69=0),AND(E69=0,G69&lt;&gt;0))=TRUE,1,0)</f>
        <v>0</v>
      </c>
    </row>
    <row r="70" spans="1:11" x14ac:dyDescent="0.25">
      <c r="A70" s="35" t="str">
        <f t="shared" ref="A70:A78" si="8">$D$67&amp;C70</f>
        <v>Product AC2</v>
      </c>
      <c r="C70" s="237" t="str">
        <f>IF('0. Control Panel'!$C$21="","-",'0. Control Panel'!$B$21)</f>
        <v>C2</v>
      </c>
      <c r="D70" s="238" t="str">
        <f>IF(C70="-","-",INDEX('0. Control Panel'!$B$19:$K$29,MATCH('1. FTE Allocations'!$C70,'0. Control Panel'!$B$19:$B$29,0),MATCH(D$6,'0. Control Panel'!$B$19:$K$19,0)))</f>
        <v>Reduced Sales Order Errors</v>
      </c>
      <c r="E70" s="283">
        <v>0</v>
      </c>
      <c r="F70" s="209">
        <f>IFERROR(IF(D70="",0,E70*VLOOKUP($D$67,'0. Control Panel'!$C$7:$E$16,3,FALSE)),0)</f>
        <v>0</v>
      </c>
      <c r="G70" s="283">
        <v>0</v>
      </c>
      <c r="H70" s="236">
        <f>IFERROR(IF(D70="",0,F70*VLOOKUP($D$5,'0. Control Panel'!$C$7:$F$16,4,FALSE)*G70),0)</f>
        <v>0</v>
      </c>
      <c r="I70" s="35">
        <f t="shared" ref="I70:I78" si="9">IF(OR(AND(E70&lt;&gt;0,G70=0),AND(E70=0,G70&lt;&gt;0))=TRUE,1,0)</f>
        <v>0</v>
      </c>
    </row>
    <row r="71" spans="1:11" x14ac:dyDescent="0.25">
      <c r="A71" s="35" t="str">
        <f t="shared" si="8"/>
        <v>Product AC3</v>
      </c>
      <c r="C71" s="237" t="str">
        <f>IF('0. Control Panel'!$C$22="","-",'0. Control Panel'!$B$22)</f>
        <v>C3</v>
      </c>
      <c r="D71" s="238" t="str">
        <f>IF(C71="-","-",INDEX('0. Control Panel'!$B$19:$K$29,MATCH('1. FTE Allocations'!$C71,'0. Control Panel'!$B$19:$B$29,0),MATCH(D$6,'0. Control Panel'!$B$19:$K$19,0)))</f>
        <v>Reduced Sales Cycle Time</v>
      </c>
      <c r="E71" s="283">
        <v>0.1</v>
      </c>
      <c r="F71" s="209">
        <f>IFERROR(IF(D71="",0,E71*VLOOKUP($D$67,'0. Control Panel'!$C$7:$E$16,3,FALSE)),0)</f>
        <v>22.950000000000003</v>
      </c>
      <c r="G71" s="283">
        <v>1</v>
      </c>
      <c r="H71" s="236">
        <f>IFERROR(IF(D71="",0,F71*VLOOKUP($D$5,'0. Control Panel'!$C$7:$F$16,4,FALSE)*G71),0)</f>
        <v>1262250.0000000002</v>
      </c>
      <c r="I71" s="35">
        <f t="shared" si="9"/>
        <v>0</v>
      </c>
    </row>
    <row r="72" spans="1:11" x14ac:dyDescent="0.25">
      <c r="A72" s="35" t="str">
        <f t="shared" si="8"/>
        <v>Product AC4</v>
      </c>
      <c r="C72" s="237" t="str">
        <f>IF('0. Control Panel'!$C$23="","-",'0. Control Panel'!$B$23)</f>
        <v>C4</v>
      </c>
      <c r="D72" s="238" t="str">
        <f>IF(C72="-","-",INDEX('0. Control Panel'!$B$19:$K$29,MATCH('1. FTE Allocations'!$C72,'0. Control Panel'!$B$19:$B$29,0),MATCH(D$6,'0. Control Panel'!$B$19:$K$19,0)))</f>
        <v>Increased Cross-Sell / Up-Sell</v>
      </c>
      <c r="E72" s="283">
        <v>0.1</v>
      </c>
      <c r="F72" s="209">
        <f>IFERROR(IF(D72="",0,E72*VLOOKUP($D$67,'0. Control Panel'!$C$7:$E$16,3,FALSE)),0)</f>
        <v>22.950000000000003</v>
      </c>
      <c r="G72" s="283">
        <v>0.3</v>
      </c>
      <c r="H72" s="236">
        <f>IFERROR(IF(D72="",0,F72*VLOOKUP($D$5,'0. Control Panel'!$C$7:$F$16,4,FALSE)*G72),0)</f>
        <v>378675.00000000006</v>
      </c>
      <c r="I72" s="35">
        <f t="shared" si="9"/>
        <v>0</v>
      </c>
    </row>
    <row r="73" spans="1:11" x14ac:dyDescent="0.25">
      <c r="A73" s="35" t="str">
        <f t="shared" si="8"/>
        <v>Product AC5</v>
      </c>
      <c r="C73" s="237" t="str">
        <f>IF('0. Control Panel'!$C$24="","-",'0. Control Panel'!$B$24)</f>
        <v>C5</v>
      </c>
      <c r="D73" s="238" t="str">
        <f>IF(C73="-","-",INDEX('0. Control Panel'!$B$19:$K$29,MATCH('1. FTE Allocations'!$C73,'0. Control Panel'!$B$19:$B$29,0),MATCH(D$6,'0. Control Panel'!$B$19:$K$19,0)))</f>
        <v>Improved Marketing Response Rate</v>
      </c>
      <c r="E73" s="283">
        <v>0</v>
      </c>
      <c r="F73" s="209">
        <f>IFERROR(IF(D73="",0,E73*VLOOKUP($D$67,'0. Control Panel'!$C$7:$E$16,3,FALSE)),0)</f>
        <v>0</v>
      </c>
      <c r="G73" s="283">
        <v>0</v>
      </c>
      <c r="H73" s="236">
        <f>IFERROR(IF(D73="",0,F73*VLOOKUP($D$5,'0. Control Panel'!$C$7:$F$16,4,FALSE)*G73),0)</f>
        <v>0</v>
      </c>
      <c r="I73" s="35">
        <f t="shared" si="9"/>
        <v>0</v>
      </c>
    </row>
    <row r="74" spans="1:11" x14ac:dyDescent="0.25">
      <c r="A74" s="35" t="str">
        <f t="shared" si="8"/>
        <v>Product AC6</v>
      </c>
      <c r="C74" s="237" t="str">
        <f>IF('0. Control Panel'!$C$25="","-",'0. Control Panel'!$B$25)</f>
        <v>C6</v>
      </c>
      <c r="D74" s="238" t="str">
        <f>IF(C74="-","-",INDEX('0. Control Panel'!$B$19:$K$29,MATCH('1. FTE Allocations'!$C74,'0. Control Panel'!$B$19:$B$29,0),MATCH(D$6,'0. Control Panel'!$B$19:$K$19,0)))</f>
        <v>Call Center Efficiency</v>
      </c>
      <c r="E74" s="283">
        <v>0</v>
      </c>
      <c r="F74" s="209">
        <f>IFERROR(IF(D74="",0,E74*VLOOKUP($D$67,'0. Control Panel'!$C$7:$E$16,3,FALSE)),0)</f>
        <v>0</v>
      </c>
      <c r="G74" s="283">
        <v>0</v>
      </c>
      <c r="H74" s="236">
        <f>IFERROR(IF(D74="",0,F74*VLOOKUP($D$5,'0. Control Panel'!$C$7:$F$16,4,FALSE)*G74),0)</f>
        <v>0</v>
      </c>
      <c r="I74" s="35">
        <f t="shared" si="9"/>
        <v>0</v>
      </c>
    </row>
    <row r="75" spans="1:11" x14ac:dyDescent="0.25">
      <c r="A75" s="35" t="str">
        <f t="shared" si="8"/>
        <v>Product AC7</v>
      </c>
      <c r="C75" s="237" t="str">
        <f>IF('0. Control Panel'!$C$26="","-",'0. Control Panel'!$B$26)</f>
        <v>C7</v>
      </c>
      <c r="D75" s="238" t="str">
        <f>IF(C75="-","-",INDEX('0. Control Panel'!$B$19:$K$29,MATCH('1. FTE Allocations'!$C75,'0. Control Panel'!$B$19:$B$29,0),MATCH(D$6,'0. Control Panel'!$B$19:$K$19,0)))</f>
        <v>Economies of Scale (M&amp;A)</v>
      </c>
      <c r="E75" s="283">
        <v>0</v>
      </c>
      <c r="F75" s="209">
        <f>IFERROR(IF(D75="",0,E75*VLOOKUP($D$67,'0. Control Panel'!$C$7:$E$16,3,FALSE)),0)</f>
        <v>0</v>
      </c>
      <c r="G75" s="283">
        <v>0</v>
      </c>
      <c r="H75" s="236">
        <f>IFERROR(IF(D75="",0,F75*VLOOKUP($D$5,'0. Control Panel'!$C$7:$F$16,4,FALSE)*G75),0)</f>
        <v>0</v>
      </c>
      <c r="I75" s="35">
        <f t="shared" si="9"/>
        <v>0</v>
      </c>
    </row>
    <row r="76" spans="1:11" x14ac:dyDescent="0.25">
      <c r="A76" s="35" t="str">
        <f t="shared" si="8"/>
        <v>Product A-</v>
      </c>
      <c r="C76" s="237" t="str">
        <f>IF('0. Control Panel'!$C$27="","-",'0. Control Panel'!$B$27)</f>
        <v>-</v>
      </c>
      <c r="D76" s="238" t="str">
        <f>IF(C76="-","-",INDEX('0. Control Panel'!$B$19:$K$29,MATCH('1. FTE Allocations'!$C76,'0. Control Panel'!$B$19:$B$29,0),MATCH(D$6,'0. Control Panel'!$B$19:$K$19,0)))</f>
        <v>-</v>
      </c>
      <c r="E76" s="283">
        <v>0</v>
      </c>
      <c r="F76" s="209">
        <f>IFERROR(IF(D76="",0,E76*VLOOKUP($D$67,'0. Control Panel'!$C$7:$E$16,3,FALSE)),0)</f>
        <v>0</v>
      </c>
      <c r="G76" s="283">
        <v>0</v>
      </c>
      <c r="H76" s="236">
        <f>IFERROR(IF(D76="",0,F76*VLOOKUP($D$5,'0. Control Panel'!$C$7:$F$16,4,FALSE)*G76),0)</f>
        <v>0</v>
      </c>
      <c r="I76" s="35">
        <f t="shared" si="9"/>
        <v>0</v>
      </c>
    </row>
    <row r="77" spans="1:11" x14ac:dyDescent="0.25">
      <c r="A77" s="35" t="str">
        <f t="shared" si="8"/>
        <v>Product A-</v>
      </c>
      <c r="C77" s="237" t="str">
        <f>IF('0. Control Panel'!$C$28="","-",'0. Control Panel'!$B$28)</f>
        <v>-</v>
      </c>
      <c r="D77" s="238" t="str">
        <f>IF(C77="-","-",INDEX('0. Control Panel'!$B$19:$K$29,MATCH('1. FTE Allocations'!$C77,'0. Control Panel'!$B$19:$B$29,0),MATCH(D$6,'0. Control Panel'!$B$19:$K$19,0)))</f>
        <v>-</v>
      </c>
      <c r="E77" s="283">
        <v>0</v>
      </c>
      <c r="F77" s="209">
        <f>IFERROR(IF(D77="",0,E77*VLOOKUP($D$67,'0. Control Panel'!$C$7:$E$16,3,FALSE)),0)</f>
        <v>0</v>
      </c>
      <c r="G77" s="283">
        <v>0</v>
      </c>
      <c r="H77" s="236">
        <f>IFERROR(IF(D77="",0,F77*VLOOKUP($D$5,'0. Control Panel'!$C$7:$F$16,4,FALSE)*G77),0)</f>
        <v>0</v>
      </c>
      <c r="I77" s="35">
        <f t="shared" si="9"/>
        <v>0</v>
      </c>
    </row>
    <row r="78" spans="1:11" x14ac:dyDescent="0.25">
      <c r="A78" s="35" t="str">
        <f t="shared" si="8"/>
        <v>Product A-</v>
      </c>
      <c r="C78" s="239" t="str">
        <f>IF('0. Control Panel'!$C$29="","-",'0. Control Panel'!$B$29)</f>
        <v>-</v>
      </c>
      <c r="D78" s="240" t="str">
        <f>IF(C78="-","-",INDEX('0. Control Panel'!$B$19:$K$29,MATCH('1. FTE Allocations'!$C78,'0. Control Panel'!$B$19:$B$29,0),MATCH(D$6,'0. Control Panel'!$B$19:$K$19,0)))</f>
        <v>-</v>
      </c>
      <c r="E78" s="284">
        <v>0</v>
      </c>
      <c r="F78" s="209">
        <f>IFERROR(IF(D78="",0,E78*VLOOKUP($D$67,'0. Control Panel'!$C$7:$E$16,3,FALSE)),0)</f>
        <v>0</v>
      </c>
      <c r="G78" s="284">
        <v>0</v>
      </c>
      <c r="H78" s="236">
        <f>IFERROR(IF(D78="",0,F78*VLOOKUP($D$5,'0. Control Panel'!$C$7:$F$16,4,FALSE)*G78),0)</f>
        <v>0</v>
      </c>
      <c r="I78" s="35">
        <f t="shared" si="9"/>
        <v>0</v>
      </c>
    </row>
    <row r="79" spans="1:11" x14ac:dyDescent="0.25">
      <c r="D79" s="241" t="s">
        <v>32</v>
      </c>
      <c r="E79" s="242">
        <f>SUM(E69:E78)</f>
        <v>0.30000000000000004</v>
      </c>
      <c r="F79" s="243">
        <f>SUM(F69:F78)</f>
        <v>68.850000000000009</v>
      </c>
      <c r="G79" s="242"/>
      <c r="H79" s="244">
        <f>SUM(H69:H78)</f>
        <v>2272050.0000000005</v>
      </c>
    </row>
    <row r="80" spans="1:11" x14ac:dyDescent="0.25">
      <c r="D80" s="233" t="str">
        <f>'0. Control Panel'!$C$31</f>
        <v>Product Process</v>
      </c>
    </row>
    <row r="81" spans="1:9" x14ac:dyDescent="0.25">
      <c r="A81" s="35" t="str">
        <f>$D$67&amp;C81</f>
        <v>Product AP1</v>
      </c>
      <c r="C81" s="234" t="str">
        <f>IF('0. Control Panel'!$C$32="","-",'0. Control Panel'!$B$32)</f>
        <v>P1</v>
      </c>
      <c r="D81" s="240" t="str">
        <f>IF(C81="-","-",INDEX('0. Control Panel'!$B$31:$K$41,MATCH('1. FTE Allocations'!$C81,'0. Control Panel'!$B$31:$B$41,0),MATCH(D$18,'0. Control Panel'!$B$31:$K$31,0)))</f>
        <v>Reduced Data Management Costs</v>
      </c>
      <c r="E81" s="282">
        <v>0</v>
      </c>
      <c r="F81" s="209">
        <f>IFERROR(IF(D81="",0,E81*VLOOKUP($D$67,'0. Control Panel'!$C$7:$E$16,3,FALSE)),0)</f>
        <v>0</v>
      </c>
      <c r="G81" s="282">
        <v>0</v>
      </c>
      <c r="H81" s="236">
        <f>IFERROR(IF(D81="",0,F81*VLOOKUP($D$5,'0. Control Panel'!$C$7:$F$16,4,FALSE)*G81),0)</f>
        <v>0</v>
      </c>
      <c r="I81" s="35">
        <f>IF(OR(AND(E81&lt;&gt;0,G81=0),AND(E81=0,G81&lt;&gt;0))=TRUE,1,0)</f>
        <v>0</v>
      </c>
    </row>
    <row r="82" spans="1:9" x14ac:dyDescent="0.25">
      <c r="A82" s="35" t="str">
        <f t="shared" ref="A82:A90" si="10">$D$67&amp;C82</f>
        <v>Product AP2</v>
      </c>
      <c r="C82" s="237" t="str">
        <f>IF('0. Control Panel'!$C$33="","-",'0. Control Panel'!$B$33)</f>
        <v>P2</v>
      </c>
      <c r="D82" s="240" t="str">
        <f>IF(C82="-","-",INDEX('0. Control Panel'!$B$31:$K$41,MATCH('1. FTE Allocations'!$C82,'0. Control Panel'!$B$31:$B$41,0),MATCH(D$18,'0. Control Panel'!$B$31:$K$31,0)))</f>
        <v>Reduced Report Generation Cost</v>
      </c>
      <c r="E82" s="283">
        <v>0</v>
      </c>
      <c r="F82" s="209">
        <f>IFERROR(IF(D82="",0,E82*VLOOKUP($D$67,'0. Control Panel'!$C$7:$E$16,3,FALSE)),0)</f>
        <v>0</v>
      </c>
      <c r="G82" s="283">
        <v>0</v>
      </c>
      <c r="H82" s="236">
        <f>IFERROR(IF(D82="",0,F82*VLOOKUP($D$5,'0. Control Panel'!$C$7:$F$16,4,FALSE)*G82),0)</f>
        <v>0</v>
      </c>
      <c r="I82" s="35">
        <f t="shared" ref="I82:I90" si="11">IF(OR(AND(E82&lt;&gt;0,G82=0),AND(E82=0,G82&lt;&gt;0))=TRUE,1,0)</f>
        <v>0</v>
      </c>
    </row>
    <row r="83" spans="1:9" x14ac:dyDescent="0.25">
      <c r="A83" s="35" t="str">
        <f t="shared" si="10"/>
        <v>Product AP3</v>
      </c>
      <c r="C83" s="237" t="str">
        <f>IF('0. Control Panel'!$C$34="","-",'0. Control Panel'!$B$34)</f>
        <v>P3</v>
      </c>
      <c r="D83" s="240" t="str">
        <f>IF(C83="-","-",INDEX('0. Control Panel'!$B$31:$K$41,MATCH('1. FTE Allocations'!$C83,'0. Control Panel'!$B$31:$B$41,0),MATCH(D$18,'0. Control Panel'!$B$31:$K$31,0)))</f>
        <v>Reduced Integration Costs</v>
      </c>
      <c r="E83" s="283">
        <v>0</v>
      </c>
      <c r="F83" s="209">
        <f>IFERROR(IF(D83="",0,E83*VLOOKUP($D$67,'0. Control Panel'!$C$7:$E$16,3,FALSE)),0)</f>
        <v>0</v>
      </c>
      <c r="G83" s="283">
        <v>0</v>
      </c>
      <c r="H83" s="236">
        <f>IFERROR(IF(D83="",0,F83*VLOOKUP($D$5,'0. Control Panel'!$C$7:$F$16,4,FALSE)*G83),0)</f>
        <v>0</v>
      </c>
      <c r="I83" s="35">
        <f t="shared" si="11"/>
        <v>0</v>
      </c>
    </row>
    <row r="84" spans="1:9" x14ac:dyDescent="0.25">
      <c r="A84" s="35" t="str">
        <f t="shared" si="10"/>
        <v>Product AP4</v>
      </c>
      <c r="C84" s="237" t="str">
        <f>IF('0. Control Panel'!$C$35="","-",'0. Control Panel'!$B$35)</f>
        <v>P4</v>
      </c>
      <c r="D84" s="240" t="str">
        <f>IF(C84="-","-",INDEX('0. Control Panel'!$B$31:$K$41,MATCH('1. FTE Allocations'!$C84,'0. Control Panel'!$B$31:$B$41,0),MATCH(D$18,'0. Control Panel'!$B$31:$K$31,0)))</f>
        <v>Reduced Marketing Costs</v>
      </c>
      <c r="E84" s="283">
        <v>0</v>
      </c>
      <c r="F84" s="209">
        <f>IFERROR(IF(D84="",0,E84*VLOOKUP($D$67,'0. Control Panel'!$C$7:$E$16,3,FALSE)),0)</f>
        <v>0</v>
      </c>
      <c r="G84" s="283">
        <v>0</v>
      </c>
      <c r="H84" s="236">
        <f>IFERROR(IF(D84="",0,F84*VLOOKUP($D$5,'0. Control Panel'!$C$7:$F$16,4,FALSE)*G84),0)</f>
        <v>0</v>
      </c>
      <c r="I84" s="35">
        <f t="shared" si="11"/>
        <v>0</v>
      </c>
    </row>
    <row r="85" spans="1:9" x14ac:dyDescent="0.25">
      <c r="A85" s="35" t="str">
        <f t="shared" si="10"/>
        <v>Product AP5</v>
      </c>
      <c r="C85" s="237" t="str">
        <f>IF('0. Control Panel'!$C$36="","-",'0. Control Panel'!$B$36)</f>
        <v>P5</v>
      </c>
      <c r="D85" s="240" t="str">
        <f>IF(C85="-","-",INDEX('0. Control Panel'!$B$31:$K$41,MATCH('1. FTE Allocations'!$C85,'0. Control Panel'!$B$31:$B$41,0),MATCH(D$18,'0. Control Panel'!$B$31:$K$31,0)))</f>
        <v>Reduced Time to Take New Product to Market</v>
      </c>
      <c r="E85" s="283">
        <v>0.55000000000000004</v>
      </c>
      <c r="F85" s="209">
        <f>IFERROR(IF(D85="",0,E85*VLOOKUP($D$67,'0. Control Panel'!$C$7:$E$16,3,FALSE)),0)</f>
        <v>126.22500000000002</v>
      </c>
      <c r="G85" s="283">
        <v>1</v>
      </c>
      <c r="H85" s="236">
        <f>IFERROR(IF(D85="",0,F85*VLOOKUP($D$5,'0. Control Panel'!$C$7:$F$16,4,FALSE)*G85),0)</f>
        <v>6942375.0000000009</v>
      </c>
      <c r="I85" s="35">
        <f t="shared" si="11"/>
        <v>0</v>
      </c>
    </row>
    <row r="86" spans="1:9" x14ac:dyDescent="0.25">
      <c r="A86" s="35" t="str">
        <f t="shared" si="10"/>
        <v>Product AP6</v>
      </c>
      <c r="C86" s="237" t="str">
        <f>IF('0. Control Panel'!$C$37="","-",'0. Control Panel'!$B$37)</f>
        <v>P6</v>
      </c>
      <c r="D86" s="240" t="str">
        <f>IF(C86="-","-",INDEX('0. Control Panel'!$B$31:$K$41,MATCH('1. FTE Allocations'!$C86,'0. Control Panel'!$B$31:$B$41,0),MATCH(D$18,'0. Control Panel'!$B$31:$K$31,0)))</f>
        <v>Reduced Credit Risk Costs</v>
      </c>
      <c r="E86" s="283">
        <v>0</v>
      </c>
      <c r="F86" s="209">
        <f>IFERROR(IF(D86="",0,E86*VLOOKUP($D$67,'0. Control Panel'!$C$7:$E$16,3,FALSE)),0)</f>
        <v>0</v>
      </c>
      <c r="G86" s="283">
        <v>0</v>
      </c>
      <c r="H86" s="236">
        <f>IFERROR(IF(D86="",0,F86*VLOOKUP($D$5,'0. Control Panel'!$C$7:$F$16,4,FALSE)*G86),0)</f>
        <v>0</v>
      </c>
      <c r="I86" s="35">
        <f t="shared" si="11"/>
        <v>0</v>
      </c>
    </row>
    <row r="87" spans="1:9" x14ac:dyDescent="0.25">
      <c r="A87" s="35" t="str">
        <f t="shared" si="10"/>
        <v>Product AP7</v>
      </c>
      <c r="C87" s="237" t="str">
        <f>IF('0. Control Panel'!$C$38="","-",'0. Control Panel'!$B$38)</f>
        <v>P7</v>
      </c>
      <c r="D87" s="240" t="str">
        <f>IF(C87="-","-",INDEX('0. Control Panel'!$B$31:$K$41,MATCH('1. FTE Allocations'!$C87,'0. Control Panel'!$B$31:$B$41,0),MATCH(D$18,'0. Control Panel'!$B$31:$K$31,0)))</f>
        <v>Reduced Non-Compliance Risk  Costs</v>
      </c>
      <c r="E87" s="283">
        <v>0</v>
      </c>
      <c r="F87" s="209">
        <f>IFERROR(IF(D87="",0,E87*VLOOKUP($D$67,'0. Control Panel'!$C$7:$E$16,3,FALSE)),0)</f>
        <v>0</v>
      </c>
      <c r="G87" s="283">
        <v>0</v>
      </c>
      <c r="H87" s="236">
        <f>IFERROR(IF(D87="",0,F87*VLOOKUP($D$5,'0. Control Panel'!$C$7:$F$16,4,FALSE)*G87),0)</f>
        <v>0</v>
      </c>
      <c r="I87" s="35">
        <f t="shared" si="11"/>
        <v>0</v>
      </c>
    </row>
    <row r="88" spans="1:9" x14ac:dyDescent="0.25">
      <c r="A88" s="35" t="str">
        <f t="shared" si="10"/>
        <v>Product A-</v>
      </c>
      <c r="C88" s="237" t="str">
        <f>IF('0. Control Panel'!C93="","-",'0. Control Panel'!B97)</f>
        <v>-</v>
      </c>
      <c r="D88" s="240" t="str">
        <f>IF(C88="-","-",INDEX('0. Control Panel'!$B$31:$K$41,MATCH('1. FTE Allocations'!$C88,'0. Control Panel'!$B$31:$B$41,0),MATCH(D$18,'0. Control Panel'!$B$31:$K$31,0)))</f>
        <v>-</v>
      </c>
      <c r="E88" s="283">
        <v>0</v>
      </c>
      <c r="F88" s="209">
        <f>IFERROR(IF(D88="",0,E88*VLOOKUP($D$67,'0. Control Panel'!$C$7:$E$16,3,FALSE)),0)</f>
        <v>0</v>
      </c>
      <c r="G88" s="283">
        <v>0</v>
      </c>
      <c r="H88" s="236">
        <f>IFERROR(IF(D88="",0,F88*VLOOKUP($D$5,'0. Control Panel'!$C$7:$F$16,4,FALSE)*G88),0)</f>
        <v>0</v>
      </c>
      <c r="I88" s="35">
        <f t="shared" si="11"/>
        <v>0</v>
      </c>
    </row>
    <row r="89" spans="1:9" x14ac:dyDescent="0.25">
      <c r="A89" s="35" t="str">
        <f t="shared" si="10"/>
        <v>Product A-</v>
      </c>
      <c r="C89" s="237" t="str">
        <f>IF('0. Control Panel'!C94="","-",'0. Control Panel'!B98)</f>
        <v>-</v>
      </c>
      <c r="D89" s="240" t="str">
        <f>IF(C89="-","-",INDEX('0. Control Panel'!$B$31:$K$41,MATCH('1. FTE Allocations'!$C89,'0. Control Panel'!$B$31:$B$41,0),MATCH(D$18,'0. Control Panel'!$B$31:$K$31,0)))</f>
        <v>-</v>
      </c>
      <c r="E89" s="283">
        <v>0</v>
      </c>
      <c r="F89" s="209">
        <f>IFERROR(IF(D89="",0,E89*VLOOKUP($D$67,'0. Control Panel'!$C$7:$E$16,3,FALSE)),0)</f>
        <v>0</v>
      </c>
      <c r="G89" s="283">
        <v>0</v>
      </c>
      <c r="H89" s="236">
        <f>IFERROR(IF(D89="",0,F89*VLOOKUP($D$5,'0. Control Panel'!$C$7:$F$16,4,FALSE)*G89),0)</f>
        <v>0</v>
      </c>
      <c r="I89" s="35">
        <f t="shared" si="11"/>
        <v>0</v>
      </c>
    </row>
    <row r="90" spans="1:9" x14ac:dyDescent="0.25">
      <c r="A90" s="35" t="str">
        <f t="shared" si="10"/>
        <v>Product A-</v>
      </c>
      <c r="C90" s="239" t="str">
        <f>IF('0. Control Panel'!C95="","-",'0. Control Panel'!B99)</f>
        <v>-</v>
      </c>
      <c r="D90" s="240" t="str">
        <f>IF(C90="-","-",INDEX('0. Control Panel'!$B$31:$K$41,MATCH('1. FTE Allocations'!$C90,'0. Control Panel'!$B$31:$B$41,0),MATCH(D$18,'0. Control Panel'!$B$31:$K$31,0)))</f>
        <v>-</v>
      </c>
      <c r="E90" s="284">
        <v>0</v>
      </c>
      <c r="F90" s="209">
        <f>IFERROR(IF(D90="",0,E90*VLOOKUP($D$67,'0. Control Panel'!$C$7:$E$16,3,FALSE)),0)</f>
        <v>0</v>
      </c>
      <c r="G90" s="284">
        <v>0</v>
      </c>
      <c r="H90" s="236">
        <f>IFERROR(IF(D90="",0,F90*VLOOKUP($D$5,'0. Control Panel'!$C$7:$F$16,4,FALSE)*G90),0)</f>
        <v>0</v>
      </c>
      <c r="I90" s="35">
        <f t="shared" si="11"/>
        <v>0</v>
      </c>
    </row>
    <row r="91" spans="1:9" x14ac:dyDescent="0.25">
      <c r="D91" s="241" t="s">
        <v>32</v>
      </c>
      <c r="E91" s="242">
        <f>SUM(E81:E90)</f>
        <v>0.55000000000000004</v>
      </c>
      <c r="F91" s="243">
        <f>SUM(F81:F90)</f>
        <v>126.22500000000002</v>
      </c>
      <c r="G91" s="242"/>
      <c r="H91" s="244">
        <f>SUM(H81:H90)</f>
        <v>6942375.0000000009</v>
      </c>
    </row>
    <row r="92" spans="1:9" ht="6" customHeight="1" x14ac:dyDescent="0.25"/>
    <row r="93" spans="1:9" x14ac:dyDescent="0.25">
      <c r="C93" s="35"/>
      <c r="D93" s="240" t="s">
        <v>40</v>
      </c>
      <c r="E93" s="245">
        <f>1-SUM(E91,E79)</f>
        <v>0.14999999999999991</v>
      </c>
      <c r="F93" s="214">
        <f>IFERROR(IF(D93="",0,E93*VLOOKUP($D$5,'0. Control Panel'!$C$7:$E$16,3,FALSE)),0)</f>
        <v>22.274999999999988</v>
      </c>
      <c r="G93" s="180"/>
      <c r="H93" s="246"/>
    </row>
    <row r="94" spans="1:9" ht="6" customHeight="1" x14ac:dyDescent="0.25"/>
    <row r="95" spans="1:9" ht="16.5" thickBot="1" x14ac:dyDescent="0.3">
      <c r="D95" s="247" t="str">
        <f>+"Grand Total for "&amp;D67</f>
        <v>Grand Total for Product A</v>
      </c>
      <c r="E95" s="248">
        <f>SUM(E79,E91,E93)</f>
        <v>1</v>
      </c>
      <c r="F95" s="249">
        <f>SUM(F79,F91,F93)</f>
        <v>217.35000000000002</v>
      </c>
      <c r="G95" s="250"/>
      <c r="H95" s="251">
        <f>SUM(H79,H91)</f>
        <v>9214425.0000000019</v>
      </c>
    </row>
    <row r="96" spans="1:9" ht="16.5" thickTop="1" x14ac:dyDescent="0.25"/>
    <row r="97" spans="1:11" x14ac:dyDescent="0.25">
      <c r="D97" s="256" t="str">
        <f>IFERROR("Total FTE of "&amp;D98&amp;": "&amp;VLOOKUP('1. FTE Allocations'!$D98,'0. Control Panel'!$C$7:$E$11,3,FALSE),"")</f>
        <v>Total FTE of Product B: 297</v>
      </c>
    </row>
    <row r="98" spans="1:11" s="74" customFormat="1" ht="31.5" x14ac:dyDescent="0.25">
      <c r="C98" s="187">
        <f>C67+1</f>
        <v>4</v>
      </c>
      <c r="D98" s="203" t="str">
        <f>IF(INDEX('0. Control Panel'!$B$6:$C$16,MATCH('1. FTE Allocations'!$C98,'0. Control Panel'!$B$6:$B$16,0),2)=0,"-",INDEX('0. Control Panel'!$B$6:$C$16,MATCH('1. FTE Allocations'!$C98,'0. Control Panel'!$B$6:$B$16,0),2))</f>
        <v>Product B</v>
      </c>
      <c r="E98" s="72" t="str">
        <f>"(% ) of "&amp;D98&amp;" FTE working on:"</f>
        <v>(% ) of Product B FTE working on:</v>
      </c>
      <c r="F98" s="232" t="s">
        <v>33</v>
      </c>
      <c r="G98" s="72" t="s">
        <v>37</v>
      </c>
      <c r="H98" s="72" t="s">
        <v>38</v>
      </c>
      <c r="K98" s="278"/>
    </row>
    <row r="99" spans="1:11" x14ac:dyDescent="0.25">
      <c r="D99" s="233" t="str">
        <f>'0. Control Panel'!$C$19</f>
        <v>Customer Process</v>
      </c>
    </row>
    <row r="100" spans="1:11" x14ac:dyDescent="0.25">
      <c r="A100" s="35" t="str">
        <f>$D$98&amp;C100</f>
        <v>Product BC1</v>
      </c>
      <c r="C100" s="234" t="str">
        <f>IF('0. Control Panel'!$C$20="","",'0. Control Panel'!$B$20)</f>
        <v>C1</v>
      </c>
      <c r="D100" s="235" t="str">
        <f>IF(C100="-","-",INDEX('0. Control Panel'!$B$19:$K$29,MATCH('1. FTE Allocations'!$C100,'0. Control Panel'!$B$19:$B$29,0),MATCH(D$6,'0. Control Panel'!$B$19:$K$19,0)))</f>
        <v>Increased Customer Retention</v>
      </c>
      <c r="E100" s="282">
        <v>0.05</v>
      </c>
      <c r="F100" s="209">
        <f>IFERROR(IF(D100="",0,E100*VLOOKUP($D$98,'0. Control Panel'!$C$7:$E$16,3,FALSE)),0)</f>
        <v>14.850000000000001</v>
      </c>
      <c r="G100" s="282">
        <v>1</v>
      </c>
      <c r="H100" s="236">
        <f>IFERROR(IF(D100="",0,F100*VLOOKUP($D$5,'0. Control Panel'!$C$7:$F$16,4,FALSE)*G100),0)</f>
        <v>816750.00000000012</v>
      </c>
      <c r="I100" s="35">
        <f>IF(OR(AND(E100&lt;&gt;0,G100=0),AND(E100=0,G100&lt;&gt;0))=TRUE,1,0)</f>
        <v>0</v>
      </c>
    </row>
    <row r="101" spans="1:11" x14ac:dyDescent="0.25">
      <c r="A101" s="35" t="str">
        <f t="shared" ref="A101:A109" si="12">$D$98&amp;C101</f>
        <v>Product BC2</v>
      </c>
      <c r="C101" s="237" t="str">
        <f>IF('0. Control Panel'!$C$21="","-",'0. Control Panel'!$B$21)</f>
        <v>C2</v>
      </c>
      <c r="D101" s="238" t="str">
        <f>IF(C101="-","-",INDEX('0. Control Panel'!$B$19:$K$29,MATCH('1. FTE Allocations'!$C101,'0. Control Panel'!$B$19:$B$29,0),MATCH(D$6,'0. Control Panel'!$B$19:$K$19,0)))</f>
        <v>Reduced Sales Order Errors</v>
      </c>
      <c r="E101" s="283"/>
      <c r="F101" s="209">
        <f>IFERROR(IF(D101="",0,E101*VLOOKUP($D$98,'0. Control Panel'!$C$7:$E$16,3,FALSE)),0)</f>
        <v>0</v>
      </c>
      <c r="G101" s="283">
        <v>0</v>
      </c>
      <c r="H101" s="236">
        <f>IFERROR(IF(D101="",0,F101*VLOOKUP($D$5,'0. Control Panel'!$C$7:$F$16,4,FALSE)*G101),0)</f>
        <v>0</v>
      </c>
      <c r="I101" s="35">
        <f t="shared" ref="I101:I109" si="13">IF(OR(AND(E101&lt;&gt;0,G101=0),AND(E101=0,G101&lt;&gt;0))=TRUE,1,0)</f>
        <v>0</v>
      </c>
    </row>
    <row r="102" spans="1:11" x14ac:dyDescent="0.25">
      <c r="A102" s="35" t="str">
        <f t="shared" si="12"/>
        <v>Product BC3</v>
      </c>
      <c r="C102" s="237" t="str">
        <f>IF('0. Control Panel'!$C$22="","-",'0. Control Panel'!$B$22)</f>
        <v>C3</v>
      </c>
      <c r="D102" s="238" t="str">
        <f>IF(C102="-","-",INDEX('0. Control Panel'!$B$19:$K$29,MATCH('1. FTE Allocations'!$C102,'0. Control Panel'!$B$19:$B$29,0),MATCH(D$6,'0. Control Panel'!$B$19:$K$19,0)))</f>
        <v>Reduced Sales Cycle Time</v>
      </c>
      <c r="E102" s="283">
        <v>0.1</v>
      </c>
      <c r="F102" s="209">
        <f>IFERROR(IF(D102="",0,E102*VLOOKUP($D$98,'0. Control Panel'!$C$7:$E$16,3,FALSE)),0)</f>
        <v>29.700000000000003</v>
      </c>
      <c r="G102" s="283">
        <v>1</v>
      </c>
      <c r="H102" s="236">
        <f>IFERROR(IF(D102="",0,F102*VLOOKUP($D$5,'0. Control Panel'!$C$7:$F$16,4,FALSE)*G102),0)</f>
        <v>1633500.0000000002</v>
      </c>
      <c r="I102" s="35">
        <f t="shared" si="13"/>
        <v>0</v>
      </c>
    </row>
    <row r="103" spans="1:11" x14ac:dyDescent="0.25">
      <c r="A103" s="35" t="str">
        <f t="shared" si="12"/>
        <v>Product BC4</v>
      </c>
      <c r="C103" s="237" t="str">
        <f>IF('0. Control Panel'!$C$23="","-",'0. Control Panel'!$B$23)</f>
        <v>C4</v>
      </c>
      <c r="D103" s="238" t="str">
        <f>IF(C103="-","-",INDEX('0. Control Panel'!$B$19:$K$29,MATCH('1. FTE Allocations'!$C103,'0. Control Panel'!$B$19:$B$29,0),MATCH(D$6,'0. Control Panel'!$B$19:$K$19,0)))</f>
        <v>Increased Cross-Sell / Up-Sell</v>
      </c>
      <c r="E103" s="283">
        <v>0.3</v>
      </c>
      <c r="F103" s="209">
        <f>IFERROR(IF(D103="",0,E103*VLOOKUP($D$98,'0. Control Panel'!$C$7:$E$16,3,FALSE)),0)</f>
        <v>89.1</v>
      </c>
      <c r="G103" s="283">
        <v>0.5</v>
      </c>
      <c r="H103" s="236">
        <f>IFERROR(IF(D103="",0,F103*VLOOKUP($D$5,'0. Control Panel'!$C$7:$F$16,4,FALSE)*G103),0)</f>
        <v>2450250</v>
      </c>
      <c r="I103" s="35">
        <f t="shared" si="13"/>
        <v>0</v>
      </c>
    </row>
    <row r="104" spans="1:11" x14ac:dyDescent="0.25">
      <c r="A104" s="35" t="str">
        <f t="shared" si="12"/>
        <v>Product BC5</v>
      </c>
      <c r="C104" s="237" t="str">
        <f>IF('0. Control Panel'!$C$24="","-",'0. Control Panel'!$B$24)</f>
        <v>C5</v>
      </c>
      <c r="D104" s="238" t="str">
        <f>IF(C104="-","-",INDEX('0. Control Panel'!$B$19:$K$29,MATCH('1. FTE Allocations'!$C104,'0. Control Panel'!$B$19:$B$29,0),MATCH(D$6,'0. Control Panel'!$B$19:$K$19,0)))</f>
        <v>Improved Marketing Response Rate</v>
      </c>
      <c r="E104" s="283">
        <v>0</v>
      </c>
      <c r="F104" s="209">
        <f>IFERROR(IF(D104="",0,E104*VLOOKUP($D$98,'0. Control Panel'!$C$7:$E$16,3,FALSE)),0)</f>
        <v>0</v>
      </c>
      <c r="G104" s="283">
        <v>0</v>
      </c>
      <c r="H104" s="236">
        <f>IFERROR(IF(D104="",0,F104*VLOOKUP($D$5,'0. Control Panel'!$C$7:$F$16,4,FALSE)*G104),0)</f>
        <v>0</v>
      </c>
      <c r="I104" s="35">
        <f t="shared" si="13"/>
        <v>0</v>
      </c>
    </row>
    <row r="105" spans="1:11" x14ac:dyDescent="0.25">
      <c r="A105" s="35" t="str">
        <f t="shared" si="12"/>
        <v>Product BC6</v>
      </c>
      <c r="C105" s="237" t="str">
        <f>IF('0. Control Panel'!$C$25="","-",'0. Control Panel'!$B$25)</f>
        <v>C6</v>
      </c>
      <c r="D105" s="238" t="str">
        <f>IF(C105="-","-",INDEX('0. Control Panel'!$B$19:$K$29,MATCH('1. FTE Allocations'!$C105,'0. Control Panel'!$B$19:$B$29,0),MATCH(D$6,'0. Control Panel'!$B$19:$K$19,0)))</f>
        <v>Call Center Efficiency</v>
      </c>
      <c r="E105" s="283">
        <v>0</v>
      </c>
      <c r="F105" s="209">
        <f>IFERROR(IF(D105="",0,E105*VLOOKUP($D$98,'0. Control Panel'!$C$7:$E$16,3,FALSE)),0)</f>
        <v>0</v>
      </c>
      <c r="G105" s="283">
        <v>0</v>
      </c>
      <c r="H105" s="236">
        <f>IFERROR(IF(D105="",0,F105*VLOOKUP($D$5,'0. Control Panel'!$C$7:$F$16,4,FALSE)*G105),0)</f>
        <v>0</v>
      </c>
      <c r="I105" s="35">
        <f t="shared" si="13"/>
        <v>0</v>
      </c>
    </row>
    <row r="106" spans="1:11" x14ac:dyDescent="0.25">
      <c r="A106" s="35" t="str">
        <f t="shared" si="12"/>
        <v>Product BC7</v>
      </c>
      <c r="C106" s="237" t="str">
        <f>IF('0. Control Panel'!$C$26="","-",'0. Control Panel'!$B$26)</f>
        <v>C7</v>
      </c>
      <c r="D106" s="238" t="str">
        <f>IF(C106="-","-",INDEX('0. Control Panel'!$B$19:$K$29,MATCH('1. FTE Allocations'!$C106,'0. Control Panel'!$B$19:$B$29,0),MATCH(D$6,'0. Control Panel'!$B$19:$K$19,0)))</f>
        <v>Economies of Scale (M&amp;A)</v>
      </c>
      <c r="E106" s="283">
        <v>0.1</v>
      </c>
      <c r="F106" s="209">
        <f>IFERROR(IF(D106="",0,E106*VLOOKUP($D$98,'0. Control Panel'!$C$7:$E$16,3,FALSE)),0)</f>
        <v>29.700000000000003</v>
      </c>
      <c r="G106" s="283">
        <v>0.5</v>
      </c>
      <c r="H106" s="236">
        <f>IFERROR(IF(D106="",0,F106*VLOOKUP($D$5,'0. Control Panel'!$C$7:$F$16,4,FALSE)*G106),0)</f>
        <v>816750.00000000012</v>
      </c>
      <c r="I106" s="35">
        <f t="shared" si="13"/>
        <v>0</v>
      </c>
    </row>
    <row r="107" spans="1:11" x14ac:dyDescent="0.25">
      <c r="A107" s="35" t="str">
        <f t="shared" si="12"/>
        <v>Product B-</v>
      </c>
      <c r="C107" s="237" t="str">
        <f>IF('0. Control Panel'!$C$27="","-",'0. Control Panel'!$B$27)</f>
        <v>-</v>
      </c>
      <c r="D107" s="238" t="str">
        <f>IF(C107="-","-",INDEX('0. Control Panel'!$B$19:$K$29,MATCH('1. FTE Allocations'!$C107,'0. Control Panel'!$B$19:$B$29,0),MATCH(D$6,'0. Control Panel'!$B$19:$K$19,0)))</f>
        <v>-</v>
      </c>
      <c r="E107" s="283">
        <v>0</v>
      </c>
      <c r="F107" s="209">
        <f>IFERROR(IF(D107="",0,E107*VLOOKUP($D$98,'0. Control Panel'!$C$7:$E$16,3,FALSE)),0)</f>
        <v>0</v>
      </c>
      <c r="G107" s="283">
        <v>0</v>
      </c>
      <c r="H107" s="236">
        <f>IFERROR(IF(D107="",0,F107*VLOOKUP($D$5,'0. Control Panel'!$C$7:$F$16,4,FALSE)*G107),0)</f>
        <v>0</v>
      </c>
      <c r="I107" s="35">
        <f t="shared" si="13"/>
        <v>0</v>
      </c>
    </row>
    <row r="108" spans="1:11" x14ac:dyDescent="0.25">
      <c r="A108" s="35" t="str">
        <f t="shared" si="12"/>
        <v>Product B-</v>
      </c>
      <c r="C108" s="237" t="str">
        <f>IF('0. Control Panel'!$C$28="","-",'0. Control Panel'!$B$28)</f>
        <v>-</v>
      </c>
      <c r="D108" s="238" t="str">
        <f>IF(C108="-","-",INDEX('0. Control Panel'!$B$19:$K$29,MATCH('1. FTE Allocations'!$C108,'0. Control Panel'!$B$19:$B$29,0),MATCH(D$6,'0. Control Panel'!$B$19:$K$19,0)))</f>
        <v>-</v>
      </c>
      <c r="E108" s="283">
        <v>0</v>
      </c>
      <c r="F108" s="209">
        <f>IFERROR(IF(D108="",0,E108*VLOOKUP($D$98,'0. Control Panel'!$C$7:$E$16,3,FALSE)),0)</f>
        <v>0</v>
      </c>
      <c r="G108" s="283">
        <v>0</v>
      </c>
      <c r="H108" s="236">
        <f>IFERROR(IF(D108="",0,F108*VLOOKUP($D$5,'0. Control Panel'!$C$7:$F$16,4,FALSE)*G108),0)</f>
        <v>0</v>
      </c>
      <c r="I108" s="35">
        <f t="shared" si="13"/>
        <v>0</v>
      </c>
    </row>
    <row r="109" spans="1:11" x14ac:dyDescent="0.25">
      <c r="A109" s="35" t="str">
        <f t="shared" si="12"/>
        <v>Product B-</v>
      </c>
      <c r="C109" s="239" t="str">
        <f>IF('0. Control Panel'!$C$29="","-",'0. Control Panel'!$B$29)</f>
        <v>-</v>
      </c>
      <c r="D109" s="240" t="str">
        <f>IF(C109="-","-",INDEX('0. Control Panel'!$B$19:$K$29,MATCH('1. FTE Allocations'!$C109,'0. Control Panel'!$B$19:$B$29,0),MATCH(D$6,'0. Control Panel'!$B$19:$K$19,0)))</f>
        <v>-</v>
      </c>
      <c r="E109" s="284">
        <v>0</v>
      </c>
      <c r="F109" s="209">
        <f>IFERROR(IF(D109="",0,E109*VLOOKUP($D$98,'0. Control Panel'!$C$7:$E$16,3,FALSE)),0)</f>
        <v>0</v>
      </c>
      <c r="G109" s="284">
        <v>0</v>
      </c>
      <c r="H109" s="236">
        <f>IFERROR(IF(D109="",0,F109*VLOOKUP($D$5,'0. Control Panel'!$C$7:$F$16,4,FALSE)*G109),0)</f>
        <v>0</v>
      </c>
      <c r="I109" s="35">
        <f t="shared" si="13"/>
        <v>0</v>
      </c>
    </row>
    <row r="110" spans="1:11" x14ac:dyDescent="0.25">
      <c r="D110" s="241" t="s">
        <v>32</v>
      </c>
      <c r="E110" s="242">
        <f>SUM(E100:E109)</f>
        <v>0.55000000000000004</v>
      </c>
      <c r="F110" s="243">
        <f>SUM(F100:F109)</f>
        <v>163.35000000000002</v>
      </c>
      <c r="G110" s="242"/>
      <c r="H110" s="244">
        <f>SUM(H100:H109)</f>
        <v>5717250</v>
      </c>
    </row>
    <row r="111" spans="1:11" x14ac:dyDescent="0.25">
      <c r="D111" s="233" t="str">
        <f>'0. Control Panel'!$C$31</f>
        <v>Product Process</v>
      </c>
    </row>
    <row r="112" spans="1:11" x14ac:dyDescent="0.25">
      <c r="A112" s="35" t="str">
        <f>$D$98&amp;C112</f>
        <v>Product BP1</v>
      </c>
      <c r="C112" s="234" t="str">
        <f>IF('0. Control Panel'!$C$32="","-",'0. Control Panel'!$B$32)</f>
        <v>P1</v>
      </c>
      <c r="D112" s="240" t="str">
        <f>IF(C112="-","-",INDEX('0. Control Panel'!$B$31:$K$41,MATCH('1. FTE Allocations'!$C112,'0. Control Panel'!$B$31:$B$41,0),MATCH(D$18,'0. Control Panel'!$B$31:$K$31,0)))</f>
        <v>Reduced Data Management Costs</v>
      </c>
      <c r="E112" s="282">
        <v>0</v>
      </c>
      <c r="F112" s="209">
        <f>IFERROR(IF(D112="",0,E112*VLOOKUP($D$98,'0. Control Panel'!$C$7:$E$16,3,FALSE)),0)</f>
        <v>0</v>
      </c>
      <c r="G112" s="282">
        <v>0</v>
      </c>
      <c r="H112" s="236">
        <f>IFERROR(IF(D112="",0,F112*VLOOKUP($D$5,'0. Control Panel'!$C$7:$F$16,4,FALSE)*G112),0)</f>
        <v>0</v>
      </c>
      <c r="I112" s="35">
        <f>IF(OR(AND(E112&lt;&gt;0,G112=0),AND(E112=0,G112&lt;&gt;0))=TRUE,1,0)</f>
        <v>0</v>
      </c>
    </row>
    <row r="113" spans="1:9" x14ac:dyDescent="0.25">
      <c r="A113" s="35" t="str">
        <f t="shared" ref="A113:A121" si="14">$D$98&amp;C113</f>
        <v>Product BP2</v>
      </c>
      <c r="C113" s="237" t="str">
        <f>IF('0. Control Panel'!$C$33="","-",'0. Control Panel'!$B$33)</f>
        <v>P2</v>
      </c>
      <c r="D113" s="240" t="str">
        <f>IF(C113="-","-",INDEX('0. Control Panel'!$B$31:$K$41,MATCH('1. FTE Allocations'!$C113,'0. Control Panel'!$B$31:$B$41,0),MATCH(D$18,'0. Control Panel'!$B$31:$K$31,0)))</f>
        <v>Reduced Report Generation Cost</v>
      </c>
      <c r="E113" s="283">
        <v>0</v>
      </c>
      <c r="F113" s="209">
        <f>IFERROR(IF(D113="",0,E113*VLOOKUP($D$98,'0. Control Panel'!$C$7:$E$16,3,FALSE)),0)</f>
        <v>0</v>
      </c>
      <c r="G113" s="283">
        <v>0</v>
      </c>
      <c r="H113" s="236">
        <f>IFERROR(IF(D113="",0,F113*VLOOKUP($D$5,'0. Control Panel'!$C$7:$F$16,4,FALSE)*G113),0)</f>
        <v>0</v>
      </c>
      <c r="I113" s="35">
        <f t="shared" ref="I113:I121" si="15">IF(OR(AND(E113&lt;&gt;0,G113=0),AND(E113=0,G113&lt;&gt;0))=TRUE,1,0)</f>
        <v>0</v>
      </c>
    </row>
    <row r="114" spans="1:9" x14ac:dyDescent="0.25">
      <c r="A114" s="35" t="str">
        <f t="shared" si="14"/>
        <v>Product BP3</v>
      </c>
      <c r="C114" s="237" t="str">
        <f>IF('0. Control Panel'!$C$34="","-",'0. Control Panel'!$B$34)</f>
        <v>P3</v>
      </c>
      <c r="D114" s="240" t="str">
        <f>IF(C114="-","-",INDEX('0. Control Panel'!$B$31:$K$41,MATCH('1. FTE Allocations'!$C114,'0. Control Panel'!$B$31:$B$41,0),MATCH(D$18,'0. Control Panel'!$B$31:$K$31,0)))</f>
        <v>Reduced Integration Costs</v>
      </c>
      <c r="E114" s="283">
        <v>0</v>
      </c>
      <c r="F114" s="209">
        <f>IFERROR(IF(D114="",0,E114*VLOOKUP($D$98,'0. Control Panel'!$C$7:$E$16,3,FALSE)),0)</f>
        <v>0</v>
      </c>
      <c r="G114" s="283">
        <v>0</v>
      </c>
      <c r="H114" s="236">
        <f>IFERROR(IF(D114="",0,F114*VLOOKUP($D$5,'0. Control Panel'!$C$7:$F$16,4,FALSE)*G114),0)</f>
        <v>0</v>
      </c>
      <c r="I114" s="35">
        <f t="shared" si="15"/>
        <v>0</v>
      </c>
    </row>
    <row r="115" spans="1:9" x14ac:dyDescent="0.25">
      <c r="A115" s="35" t="str">
        <f t="shared" si="14"/>
        <v>Product BP4</v>
      </c>
      <c r="C115" s="237" t="str">
        <f>IF('0. Control Panel'!$C$35="","-",'0. Control Panel'!$B$35)</f>
        <v>P4</v>
      </c>
      <c r="D115" s="240" t="str">
        <f>IF(C115="-","-",INDEX('0. Control Panel'!$B$31:$K$41,MATCH('1. FTE Allocations'!$C115,'0. Control Panel'!$B$31:$B$41,0),MATCH(D$18,'0. Control Panel'!$B$31:$K$31,0)))</f>
        <v>Reduced Marketing Costs</v>
      </c>
      <c r="E115" s="283">
        <v>0</v>
      </c>
      <c r="F115" s="209">
        <f>IFERROR(IF(D115="",0,E115*VLOOKUP($D$98,'0. Control Panel'!$C$7:$E$16,3,FALSE)),0)</f>
        <v>0</v>
      </c>
      <c r="G115" s="283">
        <v>0</v>
      </c>
      <c r="H115" s="236">
        <f>IFERROR(IF(D115="",0,F115*VLOOKUP($D$5,'0. Control Panel'!$C$7:$F$16,4,FALSE)*G115),0)</f>
        <v>0</v>
      </c>
      <c r="I115" s="35">
        <f t="shared" si="15"/>
        <v>0</v>
      </c>
    </row>
    <row r="116" spans="1:9" x14ac:dyDescent="0.25">
      <c r="A116" s="35" t="str">
        <f t="shared" si="14"/>
        <v>Product BP5</v>
      </c>
      <c r="C116" s="237" t="str">
        <f>IF('0. Control Panel'!$C$36="","-",'0. Control Panel'!$B$36)</f>
        <v>P5</v>
      </c>
      <c r="D116" s="240" t="str">
        <f>IF(C116="-","-",INDEX('0. Control Panel'!$B$31:$K$41,MATCH('1. FTE Allocations'!$C116,'0. Control Panel'!$B$31:$B$41,0),MATCH(D$18,'0. Control Panel'!$B$31:$K$31,0)))</f>
        <v>Reduced Time to Take New Product to Market</v>
      </c>
      <c r="E116" s="283">
        <v>0.3</v>
      </c>
      <c r="F116" s="209">
        <f>IFERROR(IF(D116="",0,E116*VLOOKUP($D$98,'0. Control Panel'!$C$7:$E$16,3,FALSE)),0)</f>
        <v>89.1</v>
      </c>
      <c r="G116" s="283">
        <v>1</v>
      </c>
      <c r="H116" s="236">
        <f>IFERROR(IF(D116="",0,F116*VLOOKUP($D$5,'0. Control Panel'!$C$7:$F$16,4,FALSE)*G116),0)</f>
        <v>4900500</v>
      </c>
      <c r="I116" s="35">
        <f t="shared" si="15"/>
        <v>0</v>
      </c>
    </row>
    <row r="117" spans="1:9" x14ac:dyDescent="0.25">
      <c r="A117" s="35" t="str">
        <f t="shared" si="14"/>
        <v>Product BP6</v>
      </c>
      <c r="C117" s="237" t="str">
        <f>IF('0. Control Panel'!$C$37="","-",'0. Control Panel'!$B$37)</f>
        <v>P6</v>
      </c>
      <c r="D117" s="240" t="str">
        <f>IF(C117="-","-",INDEX('0. Control Panel'!$B$31:$K$41,MATCH('1. FTE Allocations'!$C117,'0. Control Panel'!$B$31:$B$41,0),MATCH(D$18,'0. Control Panel'!$B$31:$K$31,0)))</f>
        <v>Reduced Credit Risk Costs</v>
      </c>
      <c r="E117" s="283">
        <v>0</v>
      </c>
      <c r="F117" s="209">
        <f>IFERROR(IF(D117="",0,E117*VLOOKUP($D$98,'0. Control Panel'!$C$7:$E$16,3,FALSE)),0)</f>
        <v>0</v>
      </c>
      <c r="G117" s="283">
        <v>0</v>
      </c>
      <c r="H117" s="236">
        <f>IFERROR(IF(D117="",0,F117*VLOOKUP($D$5,'0. Control Panel'!$C$7:$F$16,4,FALSE)*G117),0)</f>
        <v>0</v>
      </c>
      <c r="I117" s="35">
        <f t="shared" si="15"/>
        <v>0</v>
      </c>
    </row>
    <row r="118" spans="1:9" x14ac:dyDescent="0.25">
      <c r="A118" s="35" t="str">
        <f t="shared" si="14"/>
        <v>Product BP7</v>
      </c>
      <c r="C118" s="237" t="str">
        <f>IF('0. Control Panel'!$C$38="","-",'0. Control Panel'!$B$38)</f>
        <v>P7</v>
      </c>
      <c r="D118" s="240" t="str">
        <f>IF(C118="-","-",INDEX('0. Control Panel'!$B$31:$K$41,MATCH('1. FTE Allocations'!$C118,'0. Control Panel'!$B$31:$B$41,0),MATCH(D$18,'0. Control Panel'!$B$31:$K$31,0)))</f>
        <v>Reduced Non-Compliance Risk  Costs</v>
      </c>
      <c r="E118" s="283">
        <v>0</v>
      </c>
      <c r="F118" s="209">
        <f>IFERROR(IF(D118="",0,E118*VLOOKUP($D$98,'0. Control Panel'!$C$7:$E$16,3,FALSE)),0)</f>
        <v>0</v>
      </c>
      <c r="G118" s="283">
        <v>0</v>
      </c>
      <c r="H118" s="236">
        <f>IFERROR(IF(D118="",0,F118*VLOOKUP($D$5,'0. Control Panel'!$C$7:$F$16,4,FALSE)*G118),0)</f>
        <v>0</v>
      </c>
      <c r="I118" s="35">
        <f t="shared" si="15"/>
        <v>0</v>
      </c>
    </row>
    <row r="119" spans="1:9" x14ac:dyDescent="0.25">
      <c r="A119" s="35" t="str">
        <f t="shared" si="14"/>
        <v>Product B-</v>
      </c>
      <c r="C119" s="237" t="str">
        <f>IF('0. Control Panel'!C122="","-",'0. Control Panel'!B126)</f>
        <v>-</v>
      </c>
      <c r="D119" s="240" t="str">
        <f>IF(C119="-","-",INDEX('0. Control Panel'!$B$31:$K$41,MATCH('1. FTE Allocations'!$C119,'0. Control Panel'!$B$31:$B$41,0),MATCH(D$18,'0. Control Panel'!$B$31:$K$31,0)))</f>
        <v>-</v>
      </c>
      <c r="E119" s="283">
        <v>0</v>
      </c>
      <c r="F119" s="209">
        <f>IFERROR(IF(D119="",0,E119*VLOOKUP($D$98,'0. Control Panel'!$C$7:$E$16,3,FALSE)),0)</f>
        <v>0</v>
      </c>
      <c r="G119" s="283">
        <v>0</v>
      </c>
      <c r="H119" s="236">
        <f>IFERROR(IF(D119="",0,F119*VLOOKUP($D$5,'0. Control Panel'!$C$7:$F$16,4,FALSE)*G119),0)</f>
        <v>0</v>
      </c>
      <c r="I119" s="35">
        <f t="shared" si="15"/>
        <v>0</v>
      </c>
    </row>
    <row r="120" spans="1:9" x14ac:dyDescent="0.25">
      <c r="A120" s="35" t="str">
        <f t="shared" si="14"/>
        <v>Product B-</v>
      </c>
      <c r="C120" s="237" t="str">
        <f>IF('0. Control Panel'!C123="","-",'0. Control Panel'!B127)</f>
        <v>-</v>
      </c>
      <c r="D120" s="240" t="str">
        <f>IF(C120="-","-",INDEX('0. Control Panel'!$B$31:$K$41,MATCH('1. FTE Allocations'!$C120,'0. Control Panel'!$B$31:$B$41,0),MATCH(D$18,'0. Control Panel'!$B$31:$K$31,0)))</f>
        <v>-</v>
      </c>
      <c r="E120" s="283">
        <v>0</v>
      </c>
      <c r="F120" s="209">
        <f>IFERROR(IF(D120="",0,E120*VLOOKUP($D$98,'0. Control Panel'!$C$7:$E$16,3,FALSE)),0)</f>
        <v>0</v>
      </c>
      <c r="G120" s="283">
        <v>0</v>
      </c>
      <c r="H120" s="236">
        <f>IFERROR(IF(D120="",0,F120*VLOOKUP($D$5,'0. Control Panel'!$C$7:$F$16,4,FALSE)*G120),0)</f>
        <v>0</v>
      </c>
      <c r="I120" s="35">
        <f t="shared" si="15"/>
        <v>0</v>
      </c>
    </row>
    <row r="121" spans="1:9" x14ac:dyDescent="0.25">
      <c r="A121" s="35" t="str">
        <f t="shared" si="14"/>
        <v>Product B-</v>
      </c>
      <c r="C121" s="239" t="str">
        <f>IF('0. Control Panel'!C124="","-",'0. Control Panel'!B128)</f>
        <v>-</v>
      </c>
      <c r="D121" s="240" t="str">
        <f>IF(C121="-","-",INDEX('0. Control Panel'!$B$31:$K$41,MATCH('1. FTE Allocations'!$C121,'0. Control Panel'!$B$31:$B$41,0),MATCH(D$18,'0. Control Panel'!$B$31:$K$31,0)))</f>
        <v>-</v>
      </c>
      <c r="E121" s="284">
        <v>0</v>
      </c>
      <c r="F121" s="209">
        <f>IFERROR(IF(D121="",0,E121*VLOOKUP($D$98,'0. Control Panel'!$C$7:$E$16,3,FALSE)),0)</f>
        <v>0</v>
      </c>
      <c r="G121" s="284">
        <v>0</v>
      </c>
      <c r="H121" s="236">
        <f>IFERROR(IF(D121="",0,F121*VLOOKUP($D$5,'0. Control Panel'!$C$7:$F$16,4,FALSE)*G121),0)</f>
        <v>0</v>
      </c>
      <c r="I121" s="35">
        <f t="shared" si="15"/>
        <v>0</v>
      </c>
    </row>
    <row r="122" spans="1:9" x14ac:dyDescent="0.25">
      <c r="D122" s="241" t="s">
        <v>32</v>
      </c>
      <c r="E122" s="242">
        <f>SUM(E112:E121)</f>
        <v>0.3</v>
      </c>
      <c r="F122" s="243">
        <f>SUM(F112:F121)</f>
        <v>89.1</v>
      </c>
      <c r="G122" s="242"/>
      <c r="H122" s="244">
        <f>SUM(H112:H121)</f>
        <v>4900500</v>
      </c>
    </row>
    <row r="123" spans="1:9" ht="6" customHeight="1" x14ac:dyDescent="0.25"/>
    <row r="124" spans="1:9" x14ac:dyDescent="0.25">
      <c r="C124" s="35"/>
      <c r="D124" s="240" t="s">
        <v>40</v>
      </c>
      <c r="E124" s="245">
        <f>1-SUM(E122,E110)</f>
        <v>0.14999999999999991</v>
      </c>
      <c r="F124" s="214">
        <f>IFERROR(IF(D124="",0,E124*VLOOKUP($D$5,'0. Control Panel'!$C$7:$E$16,3,FALSE)),0)</f>
        <v>22.274999999999988</v>
      </c>
      <c r="G124" s="180"/>
      <c r="H124" s="246"/>
    </row>
    <row r="125" spans="1:9" ht="6" customHeight="1" x14ac:dyDescent="0.25"/>
    <row r="126" spans="1:9" ht="16.5" thickBot="1" x14ac:dyDescent="0.3">
      <c r="D126" s="247" t="str">
        <f>+"Grand Total for "&amp;D98</f>
        <v>Grand Total for Product B</v>
      </c>
      <c r="E126" s="248">
        <f>SUM(E110,E122,E124)</f>
        <v>1</v>
      </c>
      <c r="F126" s="249">
        <f>SUM(F110,F122,F124)</f>
        <v>274.72500000000002</v>
      </c>
      <c r="G126" s="250"/>
      <c r="H126" s="251">
        <f>SUM(H110,H122)</f>
        <v>10617750</v>
      </c>
    </row>
    <row r="127" spans="1:9" ht="16.5" thickTop="1" x14ac:dyDescent="0.25"/>
    <row r="128" spans="1:9" x14ac:dyDescent="0.25">
      <c r="D128" s="256" t="str">
        <f>IFERROR("Total FTE of "&amp;D129&amp;": "&amp;VLOOKUP('1. FTE Allocations'!$D129,'0. Control Panel'!$C$7:$E$11,3,FALSE),"")</f>
        <v>Total FTE of R&amp;D: 40.5</v>
      </c>
    </row>
    <row r="129" spans="1:11" s="74" customFormat="1" ht="31.5" x14ac:dyDescent="0.25">
      <c r="C129" s="187">
        <f>C98+1</f>
        <v>5</v>
      </c>
      <c r="D129" s="203" t="str">
        <f>IF(INDEX('0. Control Panel'!$B$6:$C$16,MATCH('1. FTE Allocations'!$C129,'0. Control Panel'!$B$6:$B$16,0),2)=0,"-",INDEX('0. Control Panel'!$B$6:$C$16,MATCH('1. FTE Allocations'!$C129,'0. Control Panel'!$B$6:$B$16,0),2))</f>
        <v>R&amp;D</v>
      </c>
      <c r="E129" s="72" t="str">
        <f>"(% ) of "&amp;D129&amp;" FTE working on:"</f>
        <v>(% ) of R&amp;D FTE working on:</v>
      </c>
      <c r="F129" s="232" t="s">
        <v>33</v>
      </c>
      <c r="G129" s="72" t="s">
        <v>37</v>
      </c>
      <c r="H129" s="72" t="s">
        <v>38</v>
      </c>
      <c r="K129" s="278"/>
    </row>
    <row r="130" spans="1:11" x14ac:dyDescent="0.25">
      <c r="D130" s="233" t="str">
        <f>'0. Control Panel'!$C$19</f>
        <v>Customer Process</v>
      </c>
    </row>
    <row r="131" spans="1:11" x14ac:dyDescent="0.25">
      <c r="A131" s="35" t="str">
        <f>$D$129&amp;C131</f>
        <v>R&amp;DC1</v>
      </c>
      <c r="C131" s="234" t="str">
        <f>IF('0. Control Panel'!$C$20="","",'0. Control Panel'!$B$20)</f>
        <v>C1</v>
      </c>
      <c r="D131" s="235" t="str">
        <f>IF(C131="-","-",INDEX('0. Control Panel'!$B$19:$K$29,MATCH('1. FTE Allocations'!$C131,'0. Control Panel'!$B$19:$B$29,0),MATCH(D$6,'0. Control Panel'!$B$19:$K$19,0)))</f>
        <v>Increased Customer Retention</v>
      </c>
      <c r="E131" s="282">
        <v>0</v>
      </c>
      <c r="F131" s="209">
        <f>IFERROR(IF(D131="",0,E131*VLOOKUP($D$129,'0. Control Panel'!$C$7:$E$16,3,FALSE)),0)</f>
        <v>0</v>
      </c>
      <c r="G131" s="282">
        <v>0</v>
      </c>
      <c r="H131" s="236">
        <f>IFERROR(IF(D131="",0,F131*VLOOKUP($D$5,'0. Control Panel'!$C$7:$F$16,4,FALSE)*G131),0)</f>
        <v>0</v>
      </c>
      <c r="I131" s="35">
        <f>IF(OR(AND(E131&lt;&gt;0,G131=0),AND(E131=0,G131&lt;&gt;0))=TRUE,1,0)</f>
        <v>0</v>
      </c>
    </row>
    <row r="132" spans="1:11" x14ac:dyDescent="0.25">
      <c r="A132" s="35" t="str">
        <f t="shared" ref="A132:A140" si="16">$D$129&amp;C132</f>
        <v>R&amp;DC2</v>
      </c>
      <c r="C132" s="237" t="str">
        <f>IF('0. Control Panel'!$C$21="","-",'0. Control Panel'!$B$21)</f>
        <v>C2</v>
      </c>
      <c r="D132" s="238" t="str">
        <f>IF(C132="-","-",INDEX('0. Control Panel'!$B$19:$K$29,MATCH('1. FTE Allocations'!$C132,'0. Control Panel'!$B$19:$B$29,0),MATCH(D$6,'0. Control Panel'!$B$19:$K$19,0)))</f>
        <v>Reduced Sales Order Errors</v>
      </c>
      <c r="E132" s="283">
        <v>0</v>
      </c>
      <c r="F132" s="209">
        <f>IFERROR(IF(D132="",0,E132*VLOOKUP($D$129,'0. Control Panel'!$C$7:$E$16,3,FALSE)),0)</f>
        <v>0</v>
      </c>
      <c r="G132" s="283">
        <v>0</v>
      </c>
      <c r="H132" s="236">
        <f>IFERROR(IF(D132="",0,F132*VLOOKUP($D$5,'0. Control Panel'!$C$7:$F$16,4,FALSE)*G132),0)</f>
        <v>0</v>
      </c>
      <c r="I132" s="35">
        <f t="shared" ref="I132:I140" si="17">IF(OR(AND(E132&lt;&gt;0,G132=0),AND(E132=0,G132&lt;&gt;0))=TRUE,1,0)</f>
        <v>0</v>
      </c>
    </row>
    <row r="133" spans="1:11" x14ac:dyDescent="0.25">
      <c r="A133" s="35" t="str">
        <f t="shared" si="16"/>
        <v>R&amp;DC3</v>
      </c>
      <c r="C133" s="237" t="str">
        <f>IF('0. Control Panel'!$C$22="","-",'0. Control Panel'!$B$22)</f>
        <v>C3</v>
      </c>
      <c r="D133" s="238" t="str">
        <f>IF(C133="-","-",INDEX('0. Control Panel'!$B$19:$K$29,MATCH('1. FTE Allocations'!$C133,'0. Control Panel'!$B$19:$B$29,0),MATCH(D$6,'0. Control Panel'!$B$19:$K$19,0)))</f>
        <v>Reduced Sales Cycle Time</v>
      </c>
      <c r="E133" s="283">
        <v>0</v>
      </c>
      <c r="F133" s="209">
        <f>IFERROR(IF(D133="",0,E133*VLOOKUP($D$129,'0. Control Panel'!$C$7:$E$16,3,FALSE)),0)</f>
        <v>0</v>
      </c>
      <c r="G133" s="283">
        <v>0</v>
      </c>
      <c r="H133" s="236">
        <f>IFERROR(IF(D133="",0,F133*VLOOKUP($D$5,'0. Control Panel'!$C$7:$F$16,4,FALSE)*G133),0)</f>
        <v>0</v>
      </c>
      <c r="I133" s="35">
        <f t="shared" si="17"/>
        <v>0</v>
      </c>
    </row>
    <row r="134" spans="1:11" x14ac:dyDescent="0.25">
      <c r="A134" s="35" t="str">
        <f t="shared" si="16"/>
        <v>R&amp;DC4</v>
      </c>
      <c r="C134" s="237" t="str">
        <f>IF('0. Control Panel'!$C$23="","-",'0. Control Panel'!$B$23)</f>
        <v>C4</v>
      </c>
      <c r="D134" s="238" t="str">
        <f>IF(C134="-","-",INDEX('0. Control Panel'!$B$19:$K$29,MATCH('1. FTE Allocations'!$C134,'0. Control Panel'!$B$19:$B$29,0),MATCH(D$6,'0. Control Panel'!$B$19:$K$19,0)))</f>
        <v>Increased Cross-Sell / Up-Sell</v>
      </c>
      <c r="E134" s="283">
        <v>0</v>
      </c>
      <c r="F134" s="209">
        <f>IFERROR(IF(D134="",0,E134*VLOOKUP($D$129,'0. Control Panel'!$C$7:$E$16,3,FALSE)),0)</f>
        <v>0</v>
      </c>
      <c r="G134" s="283">
        <v>0</v>
      </c>
      <c r="H134" s="236">
        <f>IFERROR(IF(D134="",0,F134*VLOOKUP($D$5,'0. Control Panel'!$C$7:$F$16,4,FALSE)*G134),0)</f>
        <v>0</v>
      </c>
      <c r="I134" s="35">
        <f t="shared" si="17"/>
        <v>0</v>
      </c>
    </row>
    <row r="135" spans="1:11" x14ac:dyDescent="0.25">
      <c r="A135" s="35" t="str">
        <f t="shared" si="16"/>
        <v>R&amp;DC5</v>
      </c>
      <c r="C135" s="237" t="str">
        <f>IF('0. Control Panel'!$C$24="","-",'0. Control Panel'!$B$24)</f>
        <v>C5</v>
      </c>
      <c r="D135" s="238" t="str">
        <f>IF(C135="-","-",INDEX('0. Control Panel'!$B$19:$K$29,MATCH('1. FTE Allocations'!$C135,'0. Control Panel'!$B$19:$B$29,0),MATCH(D$6,'0. Control Panel'!$B$19:$K$19,0)))</f>
        <v>Improved Marketing Response Rate</v>
      </c>
      <c r="E135" s="283">
        <v>0</v>
      </c>
      <c r="F135" s="209">
        <f>IFERROR(IF(D135="",0,E135*VLOOKUP($D$129,'0. Control Panel'!$C$7:$E$16,3,FALSE)),0)</f>
        <v>0</v>
      </c>
      <c r="G135" s="283">
        <v>0</v>
      </c>
      <c r="H135" s="236">
        <f>IFERROR(IF(D135="",0,F135*VLOOKUP($D$5,'0. Control Panel'!$C$7:$F$16,4,FALSE)*G135),0)</f>
        <v>0</v>
      </c>
      <c r="I135" s="35">
        <f t="shared" si="17"/>
        <v>0</v>
      </c>
    </row>
    <row r="136" spans="1:11" x14ac:dyDescent="0.25">
      <c r="A136" s="35" t="str">
        <f t="shared" si="16"/>
        <v>R&amp;DC6</v>
      </c>
      <c r="C136" s="237" t="str">
        <f>IF('0. Control Panel'!$C$25="","-",'0. Control Panel'!$B$25)</f>
        <v>C6</v>
      </c>
      <c r="D136" s="238" t="str">
        <f>IF(C136="-","-",INDEX('0. Control Panel'!$B$19:$K$29,MATCH('1. FTE Allocations'!$C136,'0. Control Panel'!$B$19:$B$29,0),MATCH(D$6,'0. Control Panel'!$B$19:$K$19,0)))</f>
        <v>Call Center Efficiency</v>
      </c>
      <c r="E136" s="283">
        <v>0.05</v>
      </c>
      <c r="F136" s="209">
        <f>IFERROR(IF(D136="",0,E136*VLOOKUP($D$129,'0. Control Panel'!$C$7:$E$16,3,FALSE)),0)</f>
        <v>2.0249999999999999</v>
      </c>
      <c r="G136" s="283">
        <v>0.5</v>
      </c>
      <c r="H136" s="236">
        <f>IFERROR(IF(D136="",0,F136*VLOOKUP($D$5,'0. Control Panel'!$C$7:$F$16,4,FALSE)*G136),0)</f>
        <v>55687.5</v>
      </c>
      <c r="I136" s="35">
        <f t="shared" si="17"/>
        <v>0</v>
      </c>
    </row>
    <row r="137" spans="1:11" x14ac:dyDescent="0.25">
      <c r="A137" s="35" t="str">
        <f t="shared" si="16"/>
        <v>R&amp;DC7</v>
      </c>
      <c r="C137" s="237" t="str">
        <f>IF('0. Control Panel'!$C$26="","-",'0. Control Panel'!$B$26)</f>
        <v>C7</v>
      </c>
      <c r="D137" s="238" t="str">
        <f>IF(C137="-","-",INDEX('0. Control Panel'!$B$19:$K$29,MATCH('1. FTE Allocations'!$C137,'0. Control Panel'!$B$19:$B$29,0),MATCH(D$6,'0. Control Panel'!$B$19:$K$19,0)))</f>
        <v>Economies of Scale (M&amp;A)</v>
      </c>
      <c r="E137" s="283">
        <v>0</v>
      </c>
      <c r="F137" s="209">
        <f>IFERROR(IF(D137="",0,E137*VLOOKUP($D$129,'0. Control Panel'!$C$7:$E$16,3,FALSE)),0)</f>
        <v>0</v>
      </c>
      <c r="G137" s="283">
        <v>0</v>
      </c>
      <c r="H137" s="236">
        <f>IFERROR(IF(D137="",0,F137*VLOOKUP($D$5,'0. Control Panel'!$C$7:$F$16,4,FALSE)*G137),0)</f>
        <v>0</v>
      </c>
      <c r="I137" s="35">
        <f t="shared" si="17"/>
        <v>0</v>
      </c>
    </row>
    <row r="138" spans="1:11" x14ac:dyDescent="0.25">
      <c r="A138" s="35" t="str">
        <f t="shared" si="16"/>
        <v>R&amp;D-</v>
      </c>
      <c r="C138" s="237" t="str">
        <f>IF('0. Control Panel'!$C$27="","-",'0. Control Panel'!$B$27)</f>
        <v>-</v>
      </c>
      <c r="D138" s="238" t="str">
        <f>IF(C138="-","-",INDEX('0. Control Panel'!$B$19:$K$29,MATCH('1. FTE Allocations'!$C138,'0. Control Panel'!$B$19:$B$29,0),MATCH(D$6,'0. Control Panel'!$B$19:$K$19,0)))</f>
        <v>-</v>
      </c>
      <c r="E138" s="283">
        <v>0</v>
      </c>
      <c r="F138" s="209">
        <f>IFERROR(IF(D138="",0,E138*VLOOKUP($D$129,'0. Control Panel'!$C$7:$E$16,3,FALSE)),0)</f>
        <v>0</v>
      </c>
      <c r="G138" s="283">
        <v>0</v>
      </c>
      <c r="H138" s="236">
        <f>IFERROR(IF(D138="",0,F138*VLOOKUP($D$5,'0. Control Panel'!$C$7:$F$16,4,FALSE)*G138),0)</f>
        <v>0</v>
      </c>
      <c r="I138" s="35">
        <f t="shared" si="17"/>
        <v>0</v>
      </c>
    </row>
    <row r="139" spans="1:11" x14ac:dyDescent="0.25">
      <c r="A139" s="35" t="str">
        <f t="shared" si="16"/>
        <v>R&amp;D-</v>
      </c>
      <c r="C139" s="237" t="str">
        <f>IF('0. Control Panel'!$C$28="","-",'0. Control Panel'!$B$28)</f>
        <v>-</v>
      </c>
      <c r="D139" s="238" t="str">
        <f>IF(C139="-","-",INDEX('0. Control Panel'!$B$19:$K$29,MATCH('1. FTE Allocations'!$C139,'0. Control Panel'!$B$19:$B$29,0),MATCH(D$6,'0. Control Panel'!$B$19:$K$19,0)))</f>
        <v>-</v>
      </c>
      <c r="E139" s="283">
        <v>0</v>
      </c>
      <c r="F139" s="209">
        <f>IFERROR(IF(D139="",0,E139*VLOOKUP($D$129,'0. Control Panel'!$C$7:$E$16,3,FALSE)),0)</f>
        <v>0</v>
      </c>
      <c r="G139" s="283">
        <v>0</v>
      </c>
      <c r="H139" s="236">
        <f>IFERROR(IF(D139="",0,F139*VLOOKUP($D$5,'0. Control Panel'!$C$7:$F$16,4,FALSE)*G139),0)</f>
        <v>0</v>
      </c>
      <c r="I139" s="35">
        <f t="shared" si="17"/>
        <v>0</v>
      </c>
    </row>
    <row r="140" spans="1:11" x14ac:dyDescent="0.25">
      <c r="A140" s="35" t="str">
        <f t="shared" si="16"/>
        <v>R&amp;D-</v>
      </c>
      <c r="C140" s="239" t="str">
        <f>IF('0. Control Panel'!$C$29="","-",'0. Control Panel'!$B$29)</f>
        <v>-</v>
      </c>
      <c r="D140" s="240" t="str">
        <f>IF(C140="-","-",INDEX('0. Control Panel'!$B$19:$K$29,MATCH('1. FTE Allocations'!$C140,'0. Control Panel'!$B$19:$B$29,0),MATCH(D$6,'0. Control Panel'!$B$19:$K$19,0)))</f>
        <v>-</v>
      </c>
      <c r="E140" s="284">
        <v>0</v>
      </c>
      <c r="F140" s="209">
        <f>IFERROR(IF(D140="",0,E140*VLOOKUP($D$129,'0. Control Panel'!$C$7:$E$16,3,FALSE)),0)</f>
        <v>0</v>
      </c>
      <c r="G140" s="284">
        <v>0</v>
      </c>
      <c r="H140" s="236">
        <f>IFERROR(IF(D140="",0,F140*VLOOKUP($D$5,'0. Control Panel'!$C$7:$F$16,4,FALSE)*G140),0)</f>
        <v>0</v>
      </c>
      <c r="I140" s="35">
        <f t="shared" si="17"/>
        <v>0</v>
      </c>
    </row>
    <row r="141" spans="1:11" x14ac:dyDescent="0.25">
      <c r="D141" s="241" t="s">
        <v>32</v>
      </c>
      <c r="E141" s="242">
        <f>SUM(E131:E140)</f>
        <v>0.05</v>
      </c>
      <c r="F141" s="243">
        <f>SUM(F131:F140)</f>
        <v>2.0249999999999999</v>
      </c>
      <c r="G141" s="242"/>
      <c r="H141" s="244">
        <f>SUM(H131:H140)</f>
        <v>55687.5</v>
      </c>
    </row>
    <row r="142" spans="1:11" x14ac:dyDescent="0.25">
      <c r="D142" s="233" t="str">
        <f>'0. Control Panel'!$C$31</f>
        <v>Product Process</v>
      </c>
    </row>
    <row r="143" spans="1:11" x14ac:dyDescent="0.25">
      <c r="A143" s="35" t="str">
        <f>$D$129&amp;C143</f>
        <v>R&amp;DP1</v>
      </c>
      <c r="C143" s="234" t="str">
        <f>IF('0. Control Panel'!$C$32="","-",'0. Control Panel'!$B$32)</f>
        <v>P1</v>
      </c>
      <c r="D143" s="240" t="str">
        <f>IF(C143="-","-",INDEX('0. Control Panel'!$B$31:$K$41,MATCH('1. FTE Allocations'!$C143,'0. Control Panel'!$B$31:$B$41,0),MATCH(D$18,'0. Control Panel'!$B$31:$K$31,0)))</f>
        <v>Reduced Data Management Costs</v>
      </c>
      <c r="E143" s="282">
        <v>0</v>
      </c>
      <c r="F143" s="209">
        <f>IFERROR(IF(D143="",0,E143*VLOOKUP($D$129,'0. Control Panel'!$C$7:$E$16,3,FALSE)),0)</f>
        <v>0</v>
      </c>
      <c r="G143" s="282">
        <v>0</v>
      </c>
      <c r="H143" s="236">
        <f>IFERROR(IF(D143="",0,F143*VLOOKUP($D$5,'0. Control Panel'!$C$7:$F$16,4,FALSE)*G143),0)</f>
        <v>0</v>
      </c>
      <c r="I143" s="35">
        <f>IF(OR(AND(E143&lt;&gt;0,G143=0),AND(E143=0,G143&lt;&gt;0))=TRUE,1,0)</f>
        <v>0</v>
      </c>
    </row>
    <row r="144" spans="1:11" x14ac:dyDescent="0.25">
      <c r="A144" s="35" t="str">
        <f t="shared" ref="A144:A152" si="18">$D$129&amp;C144</f>
        <v>R&amp;DP2</v>
      </c>
      <c r="C144" s="237" t="str">
        <f>IF('0. Control Panel'!$C$33="","-",'0. Control Panel'!$B$33)</f>
        <v>P2</v>
      </c>
      <c r="D144" s="240" t="str">
        <f>IF(C144="-","-",INDEX('0. Control Panel'!$B$31:$K$41,MATCH('1. FTE Allocations'!$C144,'0. Control Panel'!$B$31:$B$41,0),MATCH(D$18,'0. Control Panel'!$B$31:$K$31,0)))</f>
        <v>Reduced Report Generation Cost</v>
      </c>
      <c r="E144" s="283">
        <v>0</v>
      </c>
      <c r="F144" s="209">
        <f>IFERROR(IF(D144="",0,E144*VLOOKUP($D$129,'0. Control Panel'!$C$7:$E$16,3,FALSE)),0)</f>
        <v>0</v>
      </c>
      <c r="G144" s="283">
        <v>0</v>
      </c>
      <c r="H144" s="236">
        <f>IFERROR(IF(D144="",0,F144*VLOOKUP($D$5,'0. Control Panel'!$C$7:$F$16,4,FALSE)*G144),0)</f>
        <v>0</v>
      </c>
      <c r="I144" s="35">
        <f t="shared" ref="I144:I152" si="19">IF(OR(AND(E144&lt;&gt;0,G144=0),AND(E144=0,G144&lt;&gt;0))=TRUE,1,0)</f>
        <v>0</v>
      </c>
    </row>
    <row r="145" spans="1:11" x14ac:dyDescent="0.25">
      <c r="A145" s="35" t="str">
        <f t="shared" si="18"/>
        <v>R&amp;DP3</v>
      </c>
      <c r="C145" s="237" t="str">
        <f>IF('0. Control Panel'!$C$34="","-",'0. Control Panel'!$B$34)</f>
        <v>P3</v>
      </c>
      <c r="D145" s="240" t="str">
        <f>IF(C145="-","-",INDEX('0. Control Panel'!$B$31:$K$41,MATCH('1. FTE Allocations'!$C145,'0. Control Panel'!$B$31:$B$41,0),MATCH(D$18,'0. Control Panel'!$B$31:$K$31,0)))</f>
        <v>Reduced Integration Costs</v>
      </c>
      <c r="E145" s="283">
        <v>0.1</v>
      </c>
      <c r="F145" s="209">
        <f>IFERROR(IF(D145="",0,E145*VLOOKUP($D$129,'0. Control Panel'!$C$7:$E$16,3,FALSE)),0)</f>
        <v>4.05</v>
      </c>
      <c r="G145" s="283">
        <v>0.5</v>
      </c>
      <c r="H145" s="236">
        <f>IFERROR(IF(D145="",0,F145*VLOOKUP($D$5,'0. Control Panel'!$C$7:$F$16,4,FALSE)*G145),0)</f>
        <v>111375</v>
      </c>
      <c r="I145" s="35">
        <f t="shared" si="19"/>
        <v>0</v>
      </c>
    </row>
    <row r="146" spans="1:11" x14ac:dyDescent="0.25">
      <c r="A146" s="35" t="str">
        <f t="shared" si="18"/>
        <v>R&amp;DP4</v>
      </c>
      <c r="C146" s="237" t="str">
        <f>IF('0. Control Panel'!$C$35="","-",'0. Control Panel'!$B$35)</f>
        <v>P4</v>
      </c>
      <c r="D146" s="240" t="str">
        <f>IF(C146="-","-",INDEX('0. Control Panel'!$B$31:$K$41,MATCH('1. FTE Allocations'!$C146,'0. Control Panel'!$B$31:$B$41,0),MATCH(D$18,'0. Control Panel'!$B$31:$K$31,0)))</f>
        <v>Reduced Marketing Costs</v>
      </c>
      <c r="E146" s="283">
        <v>0</v>
      </c>
      <c r="F146" s="209">
        <f>IFERROR(IF(D146="",0,E146*VLOOKUP($D$129,'0. Control Panel'!$C$7:$E$16,3,FALSE)),0)</f>
        <v>0</v>
      </c>
      <c r="G146" s="283">
        <v>0</v>
      </c>
      <c r="H146" s="236">
        <f>IFERROR(IF(D146="",0,F146*VLOOKUP($D$5,'0. Control Panel'!$C$7:$F$16,4,FALSE)*G146),0)</f>
        <v>0</v>
      </c>
      <c r="I146" s="35">
        <f t="shared" si="19"/>
        <v>0</v>
      </c>
    </row>
    <row r="147" spans="1:11" x14ac:dyDescent="0.25">
      <c r="A147" s="35" t="str">
        <f t="shared" si="18"/>
        <v>R&amp;DP5</v>
      </c>
      <c r="C147" s="237" t="str">
        <f>IF('0. Control Panel'!$C$36="","-",'0. Control Panel'!$B$36)</f>
        <v>P5</v>
      </c>
      <c r="D147" s="240" t="str">
        <f>IF(C147="-","-",INDEX('0. Control Panel'!$B$31:$K$41,MATCH('1. FTE Allocations'!$C147,'0. Control Panel'!$B$31:$B$41,0),MATCH(D$18,'0. Control Panel'!$B$31:$K$31,0)))</f>
        <v>Reduced Time to Take New Product to Market</v>
      </c>
      <c r="E147" s="283">
        <v>0.3</v>
      </c>
      <c r="F147" s="209">
        <f>IFERROR(IF(D147="",0,E147*VLOOKUP($D$129,'0. Control Panel'!$C$7:$E$16,3,FALSE)),0)</f>
        <v>12.15</v>
      </c>
      <c r="G147" s="283">
        <v>0.67</v>
      </c>
      <c r="H147" s="236">
        <f>IFERROR(IF(D147="",0,F147*VLOOKUP($D$5,'0. Control Panel'!$C$7:$F$16,4,FALSE)*G147),0)</f>
        <v>447727.5</v>
      </c>
      <c r="I147" s="35">
        <f t="shared" si="19"/>
        <v>0</v>
      </c>
    </row>
    <row r="148" spans="1:11" x14ac:dyDescent="0.25">
      <c r="A148" s="35" t="str">
        <f t="shared" si="18"/>
        <v>R&amp;DP6</v>
      </c>
      <c r="C148" s="237" t="str">
        <f>IF('0. Control Panel'!$C$37="","-",'0. Control Panel'!$B$37)</f>
        <v>P6</v>
      </c>
      <c r="D148" s="240" t="str">
        <f>IF(C148="-","-",INDEX('0. Control Panel'!$B$31:$K$41,MATCH('1. FTE Allocations'!$C148,'0. Control Panel'!$B$31:$B$41,0),MATCH(D$18,'0. Control Panel'!$B$31:$K$31,0)))</f>
        <v>Reduced Credit Risk Costs</v>
      </c>
      <c r="E148" s="283">
        <v>0</v>
      </c>
      <c r="F148" s="209">
        <f>IFERROR(IF(D148="",0,E148*VLOOKUP($D$129,'0. Control Panel'!$C$7:$E$16,3,FALSE)),0)</f>
        <v>0</v>
      </c>
      <c r="G148" s="283">
        <v>0</v>
      </c>
      <c r="H148" s="236">
        <f>IFERROR(IF(D148="",0,F148*VLOOKUP($D$5,'0. Control Panel'!$C$7:$F$16,4,FALSE)*G148),0)</f>
        <v>0</v>
      </c>
      <c r="I148" s="35">
        <f t="shared" si="19"/>
        <v>0</v>
      </c>
    </row>
    <row r="149" spans="1:11" x14ac:dyDescent="0.25">
      <c r="A149" s="35" t="str">
        <f t="shared" si="18"/>
        <v>R&amp;DP7</v>
      </c>
      <c r="C149" s="237" t="str">
        <f>IF('0. Control Panel'!$C$38="","-",'0. Control Panel'!$B$38)</f>
        <v>P7</v>
      </c>
      <c r="D149" s="240" t="str">
        <f>IF(C149="-","-",INDEX('0. Control Panel'!$B$31:$K$41,MATCH('1. FTE Allocations'!$C149,'0. Control Panel'!$B$31:$B$41,0),MATCH(D$18,'0. Control Panel'!$B$31:$K$31,0)))</f>
        <v>Reduced Non-Compliance Risk  Costs</v>
      </c>
      <c r="E149" s="283">
        <v>0</v>
      </c>
      <c r="F149" s="209">
        <f>IFERROR(IF(D149="",0,E149*VLOOKUP($D$129,'0. Control Panel'!$C$7:$E$16,3,FALSE)),0)</f>
        <v>0</v>
      </c>
      <c r="G149" s="283">
        <v>0</v>
      </c>
      <c r="H149" s="236">
        <f>IFERROR(IF(D149="",0,F149*VLOOKUP($D$5,'0. Control Panel'!$C$7:$F$16,4,FALSE)*G149),0)</f>
        <v>0</v>
      </c>
      <c r="I149" s="35">
        <f t="shared" si="19"/>
        <v>0</v>
      </c>
    </row>
    <row r="150" spans="1:11" x14ac:dyDescent="0.25">
      <c r="A150" s="35" t="str">
        <f t="shared" si="18"/>
        <v>R&amp;D-</v>
      </c>
      <c r="C150" s="237" t="str">
        <f>IF('0. Control Panel'!C151="","-",'0. Control Panel'!B155)</f>
        <v>-</v>
      </c>
      <c r="D150" s="240" t="str">
        <f>IF(C150="-","-",INDEX('0. Control Panel'!$B$31:$K$41,MATCH('1. FTE Allocations'!$C150,'0. Control Panel'!$B$31:$B$41,0),MATCH(D$18,'0. Control Panel'!$B$31:$K$31,0)))</f>
        <v>-</v>
      </c>
      <c r="E150" s="283">
        <v>0</v>
      </c>
      <c r="F150" s="209">
        <f>IFERROR(IF(D150="",0,E150*VLOOKUP($D$129,'0. Control Panel'!$C$7:$E$16,3,FALSE)),0)</f>
        <v>0</v>
      </c>
      <c r="G150" s="283">
        <v>0</v>
      </c>
      <c r="H150" s="236">
        <f>IFERROR(IF(D150="",0,F150*VLOOKUP($D$5,'0. Control Panel'!$C$7:$F$16,4,FALSE)*G150),0)</f>
        <v>0</v>
      </c>
      <c r="I150" s="35">
        <f t="shared" si="19"/>
        <v>0</v>
      </c>
    </row>
    <row r="151" spans="1:11" x14ac:dyDescent="0.25">
      <c r="A151" s="35" t="str">
        <f t="shared" si="18"/>
        <v>R&amp;D-</v>
      </c>
      <c r="C151" s="237" t="str">
        <f>IF('0. Control Panel'!C152="","-",'0. Control Panel'!B156)</f>
        <v>-</v>
      </c>
      <c r="D151" s="240" t="str">
        <f>IF(C151="-","-",INDEX('0. Control Panel'!$B$31:$K$41,MATCH('1. FTE Allocations'!$C151,'0. Control Panel'!$B$31:$B$41,0),MATCH(D$18,'0. Control Panel'!$B$31:$K$31,0)))</f>
        <v>-</v>
      </c>
      <c r="E151" s="283">
        <v>0</v>
      </c>
      <c r="F151" s="209">
        <f>IFERROR(IF(D151="",0,E151*VLOOKUP($D$129,'0. Control Panel'!$C$7:$E$16,3,FALSE)),0)</f>
        <v>0</v>
      </c>
      <c r="G151" s="283">
        <v>0</v>
      </c>
      <c r="H151" s="236">
        <f>IFERROR(IF(D151="",0,F151*VLOOKUP($D$5,'0. Control Panel'!$C$7:$F$16,4,FALSE)*G151),0)</f>
        <v>0</v>
      </c>
      <c r="I151" s="35">
        <f t="shared" si="19"/>
        <v>0</v>
      </c>
    </row>
    <row r="152" spans="1:11" x14ac:dyDescent="0.25">
      <c r="A152" s="35" t="str">
        <f t="shared" si="18"/>
        <v>R&amp;D-</v>
      </c>
      <c r="C152" s="239" t="str">
        <f>IF('0. Control Panel'!C153="","-",'0. Control Panel'!B157)</f>
        <v>-</v>
      </c>
      <c r="D152" s="240" t="str">
        <f>IF(C152="-","-",INDEX('0. Control Panel'!$B$31:$K$41,MATCH('1. FTE Allocations'!$C152,'0. Control Panel'!$B$31:$B$41,0),MATCH(D$18,'0. Control Panel'!$B$31:$K$31,0)))</f>
        <v>-</v>
      </c>
      <c r="E152" s="284">
        <v>0</v>
      </c>
      <c r="F152" s="209">
        <f>IFERROR(IF(D152="",0,E152*VLOOKUP($D$129,'0. Control Panel'!$C$7:$E$16,3,FALSE)),0)</f>
        <v>0</v>
      </c>
      <c r="G152" s="284">
        <v>0</v>
      </c>
      <c r="H152" s="236">
        <f>IFERROR(IF(D152="",0,F152*VLOOKUP($D$5,'0. Control Panel'!$C$7:$F$16,4,FALSE)*G152),0)</f>
        <v>0</v>
      </c>
      <c r="I152" s="35">
        <f t="shared" si="19"/>
        <v>0</v>
      </c>
    </row>
    <row r="153" spans="1:11" x14ac:dyDescent="0.25">
      <c r="D153" s="241" t="s">
        <v>32</v>
      </c>
      <c r="E153" s="242">
        <f>SUM(E143:E152)</f>
        <v>0.4</v>
      </c>
      <c r="F153" s="243">
        <f>SUM(F143:F152)</f>
        <v>16.2</v>
      </c>
      <c r="G153" s="242"/>
      <c r="H153" s="244">
        <f>SUM(H143:H152)</f>
        <v>559102.5</v>
      </c>
    </row>
    <row r="154" spans="1:11" ht="6" customHeight="1" x14ac:dyDescent="0.25"/>
    <row r="155" spans="1:11" x14ac:dyDescent="0.25">
      <c r="C155" s="35"/>
      <c r="D155" s="240" t="s">
        <v>40</v>
      </c>
      <c r="E155" s="245">
        <f>1-SUM(E153,E141)</f>
        <v>0.55000000000000004</v>
      </c>
      <c r="F155" s="214">
        <f>IFERROR(IF(D155="",0,E155*VLOOKUP($D$5,'0. Control Panel'!$C$7:$E$16,3,FALSE)),0)</f>
        <v>81.675000000000011</v>
      </c>
      <c r="G155" s="180"/>
      <c r="H155" s="246"/>
    </row>
    <row r="156" spans="1:11" ht="6" customHeight="1" x14ac:dyDescent="0.25"/>
    <row r="157" spans="1:11" ht="16.5" thickBot="1" x14ac:dyDescent="0.3">
      <c r="D157" s="247" t="str">
        <f>+"Grand Total for "&amp;D129</f>
        <v>Grand Total for R&amp;D</v>
      </c>
      <c r="E157" s="248">
        <f>SUM(E141,E153,E155)</f>
        <v>1</v>
      </c>
      <c r="F157" s="249">
        <f>SUM(F141,F153,F155)</f>
        <v>99.9</v>
      </c>
      <c r="G157" s="250"/>
      <c r="H157" s="251">
        <f>SUM(H141,H153)</f>
        <v>614790</v>
      </c>
    </row>
    <row r="158" spans="1:11" ht="16.5" thickTop="1" x14ac:dyDescent="0.25"/>
    <row r="159" spans="1:11" x14ac:dyDescent="0.25">
      <c r="D159" s="256" t="str">
        <f>IFERROR("Total FTE of "&amp;D160&amp;": "&amp;VLOOKUP('1. FTE Allocations'!$D160,'0. Control Panel'!$C$7:$E$11,3,FALSE),"")</f>
        <v/>
      </c>
    </row>
    <row r="160" spans="1:11" s="74" customFormat="1" ht="31.5" x14ac:dyDescent="0.25">
      <c r="C160" s="187">
        <f>C129+1</f>
        <v>6</v>
      </c>
      <c r="D160" s="203" t="str">
        <f>IF(INDEX('0. Control Panel'!$B$6:$C$16,MATCH('1. FTE Allocations'!$C160,'0. Control Panel'!$B$6:$B$16,0),2)=0,"-",INDEX('0. Control Panel'!$B$6:$C$16,MATCH('1. FTE Allocations'!$C160,'0. Control Panel'!$B$6:$B$16,0),2))</f>
        <v>HR</v>
      </c>
      <c r="E160" s="72" t="str">
        <f>"(% ) of "&amp;D160&amp;" FTE working on:"</f>
        <v>(% ) of HR FTE working on:</v>
      </c>
      <c r="F160" s="232" t="s">
        <v>33</v>
      </c>
      <c r="G160" s="72" t="s">
        <v>37</v>
      </c>
      <c r="H160" s="72" t="s">
        <v>38</v>
      </c>
      <c r="K160" s="278"/>
    </row>
    <row r="161" spans="1:9" x14ac:dyDescent="0.25">
      <c r="D161" s="233" t="str">
        <f>'0. Control Panel'!$C$19</f>
        <v>Customer Process</v>
      </c>
    </row>
    <row r="162" spans="1:9" x14ac:dyDescent="0.25">
      <c r="A162" s="35" t="str">
        <f>$D$160&amp;C162</f>
        <v>HRC1</v>
      </c>
      <c r="C162" s="234" t="str">
        <f>IF('0. Control Panel'!$C$20="","",'0. Control Panel'!$B$20)</f>
        <v>C1</v>
      </c>
      <c r="D162" s="235" t="str">
        <f>IF(C162="-","-",INDEX('0. Control Panel'!$B$19:$K$29,MATCH('1. FTE Allocations'!$C162,'0. Control Panel'!$B$19:$B$29,0),MATCH(D$6,'0. Control Panel'!$B$19:$K$19,0)))</f>
        <v>Increased Customer Retention</v>
      </c>
      <c r="E162" s="282">
        <v>0</v>
      </c>
      <c r="F162" s="209">
        <f>IFERROR(IF(D162="",0,E162*VLOOKUP($D$160,'0. Control Panel'!$C$7:$E$16,3,FALSE)),0)</f>
        <v>0</v>
      </c>
      <c r="G162" s="282">
        <v>0</v>
      </c>
      <c r="H162" s="236">
        <f>IFERROR(IF(D162="",0,F162*VLOOKUP($D$5,'0. Control Panel'!$C$7:$F$16,4,FALSE)*G162),0)</f>
        <v>0</v>
      </c>
      <c r="I162" s="35">
        <f>IF(OR(AND(E162&lt;&gt;0,G162=0),AND(E162=0,G162&lt;&gt;0))=TRUE,1,0)</f>
        <v>0</v>
      </c>
    </row>
    <row r="163" spans="1:9" x14ac:dyDescent="0.25">
      <c r="A163" s="35" t="str">
        <f t="shared" ref="A163:A171" si="20">$D$160&amp;C163</f>
        <v>HRC2</v>
      </c>
      <c r="C163" s="237" t="str">
        <f>IF('0. Control Panel'!$C$21="","-",'0. Control Panel'!$B$21)</f>
        <v>C2</v>
      </c>
      <c r="D163" s="238" t="str">
        <f>IF(C163="-","-",INDEX('0. Control Panel'!$B$19:$K$29,MATCH('1. FTE Allocations'!$C163,'0. Control Panel'!$B$19:$B$29,0),MATCH(D$6,'0. Control Panel'!$B$19:$K$19,0)))</f>
        <v>Reduced Sales Order Errors</v>
      </c>
      <c r="E163" s="283">
        <v>0</v>
      </c>
      <c r="F163" s="209">
        <f>IFERROR(IF(D163="",0,E163*VLOOKUP($D$160,'0. Control Panel'!$C$7:$E$16,3,FALSE)),0)</f>
        <v>0</v>
      </c>
      <c r="G163" s="283">
        <v>0</v>
      </c>
      <c r="H163" s="236">
        <f>IFERROR(IF(D163="",0,F163*VLOOKUP($D$5,'0. Control Panel'!$C$7:$F$16,4,FALSE)*G163),0)</f>
        <v>0</v>
      </c>
      <c r="I163" s="35">
        <f t="shared" ref="I163:I171" si="21">IF(OR(AND(E163&lt;&gt;0,G163=0),AND(E163=0,G163&lt;&gt;0))=TRUE,1,0)</f>
        <v>0</v>
      </c>
    </row>
    <row r="164" spans="1:9" x14ac:dyDescent="0.25">
      <c r="A164" s="35" t="str">
        <f t="shared" si="20"/>
        <v>HRC3</v>
      </c>
      <c r="C164" s="237" t="str">
        <f>IF('0. Control Panel'!$C$22="","-",'0. Control Panel'!$B$22)</f>
        <v>C3</v>
      </c>
      <c r="D164" s="238" t="str">
        <f>IF(C164="-","-",INDEX('0. Control Panel'!$B$19:$K$29,MATCH('1. FTE Allocations'!$C164,'0. Control Panel'!$B$19:$B$29,0),MATCH(D$6,'0. Control Panel'!$B$19:$K$19,0)))</f>
        <v>Reduced Sales Cycle Time</v>
      </c>
      <c r="E164" s="283">
        <v>0</v>
      </c>
      <c r="F164" s="209">
        <f>IFERROR(IF(D164="",0,E164*VLOOKUP($D$160,'0. Control Panel'!$C$7:$E$16,3,FALSE)),0)</f>
        <v>0</v>
      </c>
      <c r="G164" s="283">
        <v>0</v>
      </c>
      <c r="H164" s="236">
        <f>IFERROR(IF(D164="",0,F164*VLOOKUP($D$5,'0. Control Panel'!$C$7:$F$16,4,FALSE)*G164),0)</f>
        <v>0</v>
      </c>
      <c r="I164" s="35">
        <f t="shared" si="21"/>
        <v>0</v>
      </c>
    </row>
    <row r="165" spans="1:9" x14ac:dyDescent="0.25">
      <c r="A165" s="35" t="str">
        <f t="shared" si="20"/>
        <v>HRC4</v>
      </c>
      <c r="C165" s="237" t="str">
        <f>IF('0. Control Panel'!$C$23="","-",'0. Control Panel'!$B$23)</f>
        <v>C4</v>
      </c>
      <c r="D165" s="238" t="str">
        <f>IF(C165="-","-",INDEX('0. Control Panel'!$B$19:$K$29,MATCH('1. FTE Allocations'!$C165,'0. Control Panel'!$B$19:$B$29,0),MATCH(D$6,'0. Control Panel'!$B$19:$K$19,0)))</f>
        <v>Increased Cross-Sell / Up-Sell</v>
      </c>
      <c r="E165" s="283">
        <v>0</v>
      </c>
      <c r="F165" s="209">
        <f>IFERROR(IF(D165="",0,E165*VLOOKUP($D$160,'0. Control Panel'!$C$7:$E$16,3,FALSE)),0)</f>
        <v>0</v>
      </c>
      <c r="G165" s="283">
        <v>0</v>
      </c>
      <c r="H165" s="236">
        <f>IFERROR(IF(D165="",0,F165*VLOOKUP($D$5,'0. Control Panel'!$C$7:$F$16,4,FALSE)*G165),0)</f>
        <v>0</v>
      </c>
      <c r="I165" s="35">
        <f t="shared" si="21"/>
        <v>0</v>
      </c>
    </row>
    <row r="166" spans="1:9" x14ac:dyDescent="0.25">
      <c r="A166" s="35" t="str">
        <f t="shared" si="20"/>
        <v>HRC5</v>
      </c>
      <c r="C166" s="237" t="str">
        <f>IF('0. Control Panel'!$C$24="","-",'0. Control Panel'!$B$24)</f>
        <v>C5</v>
      </c>
      <c r="D166" s="238" t="str">
        <f>IF(C166="-","-",INDEX('0. Control Panel'!$B$19:$K$29,MATCH('1. FTE Allocations'!$C166,'0. Control Panel'!$B$19:$B$29,0),MATCH(D$6,'0. Control Panel'!$B$19:$K$19,0)))</f>
        <v>Improved Marketing Response Rate</v>
      </c>
      <c r="E166" s="283">
        <v>0</v>
      </c>
      <c r="F166" s="209">
        <f>IFERROR(IF(D166="",0,E166*VLOOKUP($D$160,'0. Control Panel'!$C$7:$E$16,3,FALSE)),0)</f>
        <v>0</v>
      </c>
      <c r="G166" s="283">
        <v>0</v>
      </c>
      <c r="H166" s="236">
        <f>IFERROR(IF(D166="",0,F166*VLOOKUP($D$5,'0. Control Panel'!$C$7:$F$16,4,FALSE)*G166),0)</f>
        <v>0</v>
      </c>
      <c r="I166" s="35">
        <f t="shared" si="21"/>
        <v>0</v>
      </c>
    </row>
    <row r="167" spans="1:9" x14ac:dyDescent="0.25">
      <c r="A167" s="35" t="str">
        <f t="shared" si="20"/>
        <v>HRC6</v>
      </c>
      <c r="C167" s="237" t="str">
        <f>IF('0. Control Panel'!$C$25="","-",'0. Control Panel'!$B$25)</f>
        <v>C6</v>
      </c>
      <c r="D167" s="238" t="str">
        <f>IF(C167="-","-",INDEX('0. Control Panel'!$B$19:$K$29,MATCH('1. FTE Allocations'!$C167,'0. Control Panel'!$B$19:$B$29,0),MATCH(D$6,'0. Control Panel'!$B$19:$K$19,0)))</f>
        <v>Call Center Efficiency</v>
      </c>
      <c r="E167" s="283">
        <v>0</v>
      </c>
      <c r="F167" s="209">
        <f>IFERROR(IF(D167="",0,E167*VLOOKUP($D$160,'0. Control Panel'!$C$7:$E$16,3,FALSE)),0)</f>
        <v>0</v>
      </c>
      <c r="G167" s="283">
        <v>0</v>
      </c>
      <c r="H167" s="236">
        <f>IFERROR(IF(D167="",0,F167*VLOOKUP($D$5,'0. Control Panel'!$C$7:$F$16,4,FALSE)*G167),0)</f>
        <v>0</v>
      </c>
      <c r="I167" s="35">
        <f t="shared" si="21"/>
        <v>0</v>
      </c>
    </row>
    <row r="168" spans="1:9" x14ac:dyDescent="0.25">
      <c r="A168" s="35" t="str">
        <f t="shared" si="20"/>
        <v>HRC7</v>
      </c>
      <c r="C168" s="237" t="str">
        <f>IF('0. Control Panel'!$C$26="","-",'0. Control Panel'!$B$26)</f>
        <v>C7</v>
      </c>
      <c r="D168" s="238" t="str">
        <f>IF(C168="-","-",INDEX('0. Control Panel'!$B$19:$K$29,MATCH('1. FTE Allocations'!$C168,'0. Control Panel'!$B$19:$B$29,0),MATCH(D$6,'0. Control Panel'!$B$19:$K$19,0)))</f>
        <v>Economies of Scale (M&amp;A)</v>
      </c>
      <c r="E168" s="283">
        <v>0.1</v>
      </c>
      <c r="F168" s="209">
        <f>IFERROR(IF(D168="",0,E168*VLOOKUP($D$160,'0. Control Panel'!$C$7:$E$16,3,FALSE)),0)</f>
        <v>9.4500000000000011</v>
      </c>
      <c r="G168" s="283">
        <v>0.5</v>
      </c>
      <c r="H168" s="236">
        <f>IFERROR(IF(D168="",0,F168*VLOOKUP($D$5,'0. Control Panel'!$C$7:$F$16,4,FALSE)*G168),0)</f>
        <v>259875.00000000003</v>
      </c>
      <c r="I168" s="35">
        <f t="shared" si="21"/>
        <v>0</v>
      </c>
    </row>
    <row r="169" spans="1:9" x14ac:dyDescent="0.25">
      <c r="A169" s="35" t="str">
        <f t="shared" si="20"/>
        <v>HR-</v>
      </c>
      <c r="C169" s="237" t="str">
        <f>IF('0. Control Panel'!$C$27="","-",'0. Control Panel'!$B$27)</f>
        <v>-</v>
      </c>
      <c r="D169" s="238" t="str">
        <f>IF(C169="-","-",INDEX('0. Control Panel'!$B$19:$K$29,MATCH('1. FTE Allocations'!$C169,'0. Control Panel'!$B$19:$B$29,0),MATCH(D$6,'0. Control Panel'!$B$19:$K$19,0)))</f>
        <v>-</v>
      </c>
      <c r="E169" s="283">
        <v>0</v>
      </c>
      <c r="F169" s="209">
        <f>IFERROR(IF(D169="",0,E169*VLOOKUP($D$160,'0. Control Panel'!$C$7:$E$16,3,FALSE)),0)</f>
        <v>0</v>
      </c>
      <c r="G169" s="283">
        <v>0</v>
      </c>
      <c r="H169" s="236">
        <f>IFERROR(IF(D169="",0,F169*VLOOKUP($D$5,'0. Control Panel'!$C$7:$F$16,4,FALSE)*G169),0)</f>
        <v>0</v>
      </c>
      <c r="I169" s="35">
        <f t="shared" si="21"/>
        <v>0</v>
      </c>
    </row>
    <row r="170" spans="1:9" x14ac:dyDescent="0.25">
      <c r="A170" s="35" t="str">
        <f t="shared" si="20"/>
        <v>HR-</v>
      </c>
      <c r="C170" s="237" t="str">
        <f>IF('0. Control Panel'!$C$28="","-",'0. Control Panel'!$B$28)</f>
        <v>-</v>
      </c>
      <c r="D170" s="238" t="str">
        <f>IF(C170="-","-",INDEX('0. Control Panel'!$B$19:$K$29,MATCH('1. FTE Allocations'!$C170,'0. Control Panel'!$B$19:$B$29,0),MATCH(D$6,'0. Control Panel'!$B$19:$K$19,0)))</f>
        <v>-</v>
      </c>
      <c r="E170" s="283">
        <v>0</v>
      </c>
      <c r="F170" s="209">
        <f>IFERROR(IF(D170="",0,E170*VLOOKUP($D$160,'0. Control Panel'!$C$7:$E$16,3,FALSE)),0)</f>
        <v>0</v>
      </c>
      <c r="G170" s="283">
        <v>0</v>
      </c>
      <c r="H170" s="236">
        <f>IFERROR(IF(D170="",0,F170*VLOOKUP($D$5,'0. Control Panel'!$C$7:$F$16,4,FALSE)*G170),0)</f>
        <v>0</v>
      </c>
      <c r="I170" s="35">
        <f t="shared" si="21"/>
        <v>0</v>
      </c>
    </row>
    <row r="171" spans="1:9" x14ac:dyDescent="0.25">
      <c r="A171" s="35" t="str">
        <f t="shared" si="20"/>
        <v>HR-</v>
      </c>
      <c r="C171" s="239" t="str">
        <f>IF('0. Control Panel'!$C$29="","-",'0. Control Panel'!$B$29)</f>
        <v>-</v>
      </c>
      <c r="D171" s="240" t="str">
        <f>IF(C171="-","-",INDEX('0. Control Panel'!$B$19:$K$29,MATCH('1. FTE Allocations'!$C171,'0. Control Panel'!$B$19:$B$29,0),MATCH(D$6,'0. Control Panel'!$B$19:$K$19,0)))</f>
        <v>-</v>
      </c>
      <c r="E171" s="284">
        <v>0</v>
      </c>
      <c r="F171" s="209">
        <f>IFERROR(IF(D171="",0,E171*VLOOKUP($D$160,'0. Control Panel'!$C$7:$E$16,3,FALSE)),0)</f>
        <v>0</v>
      </c>
      <c r="G171" s="284">
        <v>0</v>
      </c>
      <c r="H171" s="236">
        <f>IFERROR(IF(D171="",0,F171*VLOOKUP($D$5,'0. Control Panel'!$C$7:$F$16,4,FALSE)*G171),0)</f>
        <v>0</v>
      </c>
      <c r="I171" s="35">
        <f t="shared" si="21"/>
        <v>0</v>
      </c>
    </row>
    <row r="172" spans="1:9" x14ac:dyDescent="0.25">
      <c r="D172" s="241" t="s">
        <v>32</v>
      </c>
      <c r="E172" s="242">
        <f>SUM(E162:E171)</f>
        <v>0.1</v>
      </c>
      <c r="F172" s="243">
        <f>SUM(F162:F171)</f>
        <v>9.4500000000000011</v>
      </c>
      <c r="G172" s="242"/>
      <c r="H172" s="244">
        <f>SUM(H162:H171)</f>
        <v>259875.00000000003</v>
      </c>
    </row>
    <row r="173" spans="1:9" x14ac:dyDescent="0.25">
      <c r="D173" s="233" t="str">
        <f>'0. Control Panel'!$C$31</f>
        <v>Product Process</v>
      </c>
    </row>
    <row r="174" spans="1:9" x14ac:dyDescent="0.25">
      <c r="A174" s="35" t="str">
        <f>$D$160&amp;C174</f>
        <v>HRP1</v>
      </c>
      <c r="C174" s="234" t="str">
        <f>IF('0. Control Panel'!$C$32="","-",'0. Control Panel'!$B$32)</f>
        <v>P1</v>
      </c>
      <c r="D174" s="240" t="str">
        <f>IF(C174="-","-",INDEX('0. Control Panel'!$B$31:$K$41,MATCH('1. FTE Allocations'!$C174,'0. Control Panel'!$B$31:$B$41,0),MATCH(D$18,'0. Control Panel'!$B$31:$K$31,0)))</f>
        <v>Reduced Data Management Costs</v>
      </c>
      <c r="E174" s="282">
        <v>0.2</v>
      </c>
      <c r="F174" s="209">
        <f>IFERROR(IF(D174="",0,E174*VLOOKUP($D$160,'0. Control Panel'!$C$7:$E$16,3,FALSE)),0)</f>
        <v>18.900000000000002</v>
      </c>
      <c r="G174" s="282">
        <v>1</v>
      </c>
      <c r="H174" s="236">
        <f>IFERROR(IF(D174="",0,F174*VLOOKUP($D$5,'0. Control Panel'!$C$7:$F$16,4,FALSE)*G174),0)</f>
        <v>1039500.0000000001</v>
      </c>
      <c r="I174" s="35">
        <f>IF(OR(AND(E174&lt;&gt;0,G174=0),AND(E174=0,G174&lt;&gt;0))=TRUE,1,0)</f>
        <v>0</v>
      </c>
    </row>
    <row r="175" spans="1:9" x14ac:dyDescent="0.25">
      <c r="A175" s="35" t="str">
        <f t="shared" ref="A175:A183" si="22">$D$160&amp;C175</f>
        <v>HRP2</v>
      </c>
      <c r="C175" s="237" t="str">
        <f>IF('0. Control Panel'!$C$33="","-",'0. Control Panel'!$B$33)</f>
        <v>P2</v>
      </c>
      <c r="D175" s="240" t="str">
        <f>IF(C175="-","-",INDEX('0. Control Panel'!$B$31:$K$41,MATCH('1. FTE Allocations'!$C175,'0. Control Panel'!$B$31:$B$41,0),MATCH(D$18,'0. Control Panel'!$B$31:$K$31,0)))</f>
        <v>Reduced Report Generation Cost</v>
      </c>
      <c r="E175" s="283">
        <v>0.05</v>
      </c>
      <c r="F175" s="209">
        <f>IFERROR(IF(D175="",0,E175*VLOOKUP($D$160,'0. Control Panel'!$C$7:$E$16,3,FALSE)),0)</f>
        <v>4.7250000000000005</v>
      </c>
      <c r="G175" s="283">
        <v>0.33</v>
      </c>
      <c r="H175" s="236">
        <f>IFERROR(IF(D175="",0,F175*VLOOKUP($D$5,'0. Control Panel'!$C$7:$F$16,4,FALSE)*G175),0)</f>
        <v>85758.750000000015</v>
      </c>
      <c r="I175" s="35">
        <f t="shared" ref="I175:I183" si="23">IF(OR(AND(E175&lt;&gt;0,G175=0),AND(E175=0,G175&lt;&gt;0))=TRUE,1,0)</f>
        <v>0</v>
      </c>
    </row>
    <row r="176" spans="1:9" x14ac:dyDescent="0.25">
      <c r="A176" s="35" t="str">
        <f t="shared" si="22"/>
        <v>HRP3</v>
      </c>
      <c r="C176" s="237" t="str">
        <f>IF('0. Control Panel'!$C$34="","-",'0. Control Panel'!$B$34)</f>
        <v>P3</v>
      </c>
      <c r="D176" s="240" t="str">
        <f>IF(C176="-","-",INDEX('0. Control Panel'!$B$31:$K$41,MATCH('1. FTE Allocations'!$C176,'0. Control Panel'!$B$31:$B$41,0),MATCH(D$18,'0. Control Panel'!$B$31:$K$31,0)))</f>
        <v>Reduced Integration Costs</v>
      </c>
      <c r="E176" s="283">
        <v>0.1</v>
      </c>
      <c r="F176" s="209">
        <f>IFERROR(IF(D176="",0,E176*VLOOKUP($D$160,'0. Control Panel'!$C$7:$E$16,3,FALSE)),0)</f>
        <v>9.4500000000000011</v>
      </c>
      <c r="G176" s="283">
        <v>0.5</v>
      </c>
      <c r="H176" s="236">
        <f>IFERROR(IF(D176="",0,F176*VLOOKUP($D$5,'0. Control Panel'!$C$7:$F$16,4,FALSE)*G176),0)</f>
        <v>259875.00000000003</v>
      </c>
      <c r="I176" s="35">
        <f t="shared" si="23"/>
        <v>0</v>
      </c>
    </row>
    <row r="177" spans="1:11" x14ac:dyDescent="0.25">
      <c r="A177" s="35" t="str">
        <f t="shared" si="22"/>
        <v>HRP4</v>
      </c>
      <c r="C177" s="237" t="str">
        <f>IF('0. Control Panel'!$C$35="","-",'0. Control Panel'!$B$35)</f>
        <v>P4</v>
      </c>
      <c r="D177" s="240" t="str">
        <f>IF(C177="-","-",INDEX('0. Control Panel'!$B$31:$K$41,MATCH('1. FTE Allocations'!$C177,'0. Control Panel'!$B$31:$B$41,0),MATCH(D$18,'0. Control Panel'!$B$31:$K$31,0)))</f>
        <v>Reduced Marketing Costs</v>
      </c>
      <c r="E177" s="283">
        <v>0</v>
      </c>
      <c r="F177" s="209">
        <f>IFERROR(IF(D177="",0,E177*VLOOKUP($D$160,'0. Control Panel'!$C$7:$E$16,3,FALSE)),0)</f>
        <v>0</v>
      </c>
      <c r="G177" s="283">
        <v>0</v>
      </c>
      <c r="H177" s="236">
        <f>IFERROR(IF(D177="",0,F177*VLOOKUP($D$5,'0. Control Panel'!$C$7:$F$16,4,FALSE)*G177),0)</f>
        <v>0</v>
      </c>
      <c r="I177" s="35">
        <f t="shared" si="23"/>
        <v>0</v>
      </c>
    </row>
    <row r="178" spans="1:11" x14ac:dyDescent="0.25">
      <c r="A178" s="35" t="str">
        <f t="shared" si="22"/>
        <v>HRP5</v>
      </c>
      <c r="C178" s="237" t="str">
        <f>IF('0. Control Panel'!$C$36="","-",'0. Control Panel'!$B$36)</f>
        <v>P5</v>
      </c>
      <c r="D178" s="240" t="str">
        <f>IF(C178="-","-",INDEX('0. Control Panel'!$B$31:$K$41,MATCH('1. FTE Allocations'!$C178,'0. Control Panel'!$B$31:$B$41,0),MATCH(D$18,'0. Control Panel'!$B$31:$K$31,0)))</f>
        <v>Reduced Time to Take New Product to Market</v>
      </c>
      <c r="E178" s="283">
        <v>0</v>
      </c>
      <c r="F178" s="209">
        <f>IFERROR(IF(D178="",0,E178*VLOOKUP($D$160,'0. Control Panel'!$C$7:$E$16,3,FALSE)),0)</f>
        <v>0</v>
      </c>
      <c r="G178" s="283">
        <v>0</v>
      </c>
      <c r="H178" s="236">
        <f>IFERROR(IF(D178="",0,F178*VLOOKUP($D$5,'0. Control Panel'!$C$7:$F$16,4,FALSE)*G178),0)</f>
        <v>0</v>
      </c>
      <c r="I178" s="35">
        <f t="shared" si="23"/>
        <v>0</v>
      </c>
    </row>
    <row r="179" spans="1:11" x14ac:dyDescent="0.25">
      <c r="A179" s="35" t="str">
        <f t="shared" si="22"/>
        <v>HRP6</v>
      </c>
      <c r="C179" s="237" t="str">
        <f>IF('0. Control Panel'!$C$37="","-",'0. Control Panel'!$B$37)</f>
        <v>P6</v>
      </c>
      <c r="D179" s="240" t="str">
        <f>IF(C179="-","-",INDEX('0. Control Panel'!$B$31:$K$41,MATCH('1. FTE Allocations'!$C179,'0. Control Panel'!$B$31:$B$41,0),MATCH(D$18,'0. Control Panel'!$B$31:$K$31,0)))</f>
        <v>Reduced Credit Risk Costs</v>
      </c>
      <c r="E179" s="283">
        <v>0</v>
      </c>
      <c r="F179" s="209">
        <f>IFERROR(IF(D179="",0,E179*VLOOKUP($D$160,'0. Control Panel'!$C$7:$E$16,3,FALSE)),0)</f>
        <v>0</v>
      </c>
      <c r="G179" s="283">
        <v>0</v>
      </c>
      <c r="H179" s="236">
        <f>IFERROR(IF(D179="",0,F179*VLOOKUP($D$5,'0. Control Panel'!$C$7:$F$16,4,FALSE)*G179),0)</f>
        <v>0</v>
      </c>
      <c r="I179" s="35">
        <f t="shared" si="23"/>
        <v>0</v>
      </c>
    </row>
    <row r="180" spans="1:11" x14ac:dyDescent="0.25">
      <c r="A180" s="35" t="str">
        <f t="shared" si="22"/>
        <v>HRP7</v>
      </c>
      <c r="C180" s="237" t="str">
        <f>IF('0. Control Panel'!$C$38="","-",'0. Control Panel'!$B$38)</f>
        <v>P7</v>
      </c>
      <c r="D180" s="240" t="str">
        <f>IF(C180="-","-",INDEX('0. Control Panel'!$B$31:$K$41,MATCH('1. FTE Allocations'!$C180,'0. Control Panel'!$B$31:$B$41,0),MATCH(D$18,'0. Control Panel'!$B$31:$K$31,0)))</f>
        <v>Reduced Non-Compliance Risk  Costs</v>
      </c>
      <c r="E180" s="283">
        <v>0.1</v>
      </c>
      <c r="F180" s="209">
        <f>IFERROR(IF(D180="",0,E180*VLOOKUP($D$160,'0. Control Panel'!$C$7:$E$16,3,FALSE)),0)</f>
        <v>9.4500000000000011</v>
      </c>
      <c r="G180" s="283">
        <v>1</v>
      </c>
      <c r="H180" s="236">
        <f>IFERROR(IF(D180="",0,F180*VLOOKUP($D$5,'0. Control Panel'!$C$7:$F$16,4,FALSE)*G180),0)</f>
        <v>519750.00000000006</v>
      </c>
      <c r="I180" s="35">
        <f t="shared" si="23"/>
        <v>0</v>
      </c>
    </row>
    <row r="181" spans="1:11" x14ac:dyDescent="0.25">
      <c r="A181" s="35" t="str">
        <f t="shared" si="22"/>
        <v>HR-</v>
      </c>
      <c r="C181" s="237" t="str">
        <f>IF('0. Control Panel'!C180="","-",'0. Control Panel'!B184)</f>
        <v>-</v>
      </c>
      <c r="D181" s="240" t="str">
        <f>IF(C181="-","-",INDEX('0. Control Panel'!$B$31:$K$41,MATCH('1. FTE Allocations'!$C181,'0. Control Panel'!$B$31:$B$41,0),MATCH(D$18,'0. Control Panel'!$B$31:$K$31,0)))</f>
        <v>-</v>
      </c>
      <c r="E181" s="283">
        <v>0</v>
      </c>
      <c r="F181" s="209">
        <f>IFERROR(IF(D181="",0,E181*VLOOKUP($D$160,'0. Control Panel'!$C$7:$E$16,3,FALSE)),0)</f>
        <v>0</v>
      </c>
      <c r="G181" s="283">
        <v>0</v>
      </c>
      <c r="H181" s="236">
        <f>IFERROR(IF(D181="",0,F181*VLOOKUP($D$5,'0. Control Panel'!$C$7:$F$16,4,FALSE)*G181),0)</f>
        <v>0</v>
      </c>
      <c r="I181" s="35">
        <f t="shared" si="23"/>
        <v>0</v>
      </c>
    </row>
    <row r="182" spans="1:11" x14ac:dyDescent="0.25">
      <c r="A182" s="35" t="str">
        <f t="shared" si="22"/>
        <v>HR-</v>
      </c>
      <c r="C182" s="237" t="str">
        <f>IF('0. Control Panel'!C181="","-",'0. Control Panel'!B185)</f>
        <v>-</v>
      </c>
      <c r="D182" s="240" t="str">
        <f>IF(C182="-","-",INDEX('0. Control Panel'!$B$31:$K$41,MATCH('1. FTE Allocations'!$C182,'0. Control Panel'!$B$31:$B$41,0),MATCH(D$18,'0. Control Panel'!$B$31:$K$31,0)))</f>
        <v>-</v>
      </c>
      <c r="E182" s="283">
        <v>0</v>
      </c>
      <c r="F182" s="209">
        <f>IFERROR(IF(D182="",0,E182*VLOOKUP($D$160,'0. Control Panel'!$C$7:$E$16,3,FALSE)),0)</f>
        <v>0</v>
      </c>
      <c r="G182" s="283">
        <v>0</v>
      </c>
      <c r="H182" s="236">
        <f>IFERROR(IF(D182="",0,F182*VLOOKUP($D$5,'0. Control Panel'!$C$7:$F$16,4,FALSE)*G182),0)</f>
        <v>0</v>
      </c>
      <c r="I182" s="35">
        <f t="shared" si="23"/>
        <v>0</v>
      </c>
    </row>
    <row r="183" spans="1:11" x14ac:dyDescent="0.25">
      <c r="A183" s="35" t="str">
        <f t="shared" si="22"/>
        <v>HR-</v>
      </c>
      <c r="C183" s="239" t="str">
        <f>IF('0. Control Panel'!C182="","-",'0. Control Panel'!B186)</f>
        <v>-</v>
      </c>
      <c r="D183" s="240" t="str">
        <f>IF(C183="-","-",INDEX('0. Control Panel'!$B$31:$K$41,MATCH('1. FTE Allocations'!$C183,'0. Control Panel'!$B$31:$B$41,0),MATCH(D$18,'0. Control Panel'!$B$31:$K$31,0)))</f>
        <v>-</v>
      </c>
      <c r="E183" s="284">
        <v>0</v>
      </c>
      <c r="F183" s="209">
        <f>IFERROR(IF(D183="",0,E183*VLOOKUP($D$160,'0. Control Panel'!$C$7:$E$16,3,FALSE)),0)</f>
        <v>0</v>
      </c>
      <c r="G183" s="284">
        <v>0</v>
      </c>
      <c r="H183" s="236">
        <f>IFERROR(IF(D183="",0,F183*VLOOKUP($D$5,'0. Control Panel'!$C$7:$F$16,4,FALSE)*G183),0)</f>
        <v>0</v>
      </c>
      <c r="I183" s="35">
        <f t="shared" si="23"/>
        <v>0</v>
      </c>
    </row>
    <row r="184" spans="1:11" x14ac:dyDescent="0.25">
      <c r="D184" s="241" t="s">
        <v>32</v>
      </c>
      <c r="E184" s="242">
        <f>SUM(E174:E183)</f>
        <v>0.44999999999999996</v>
      </c>
      <c r="F184" s="243">
        <f>SUM(F174:F183)</f>
        <v>42.525000000000006</v>
      </c>
      <c r="G184" s="242"/>
      <c r="H184" s="244">
        <f>SUM(H174:H183)</f>
        <v>1904883.7500000002</v>
      </c>
    </row>
    <row r="185" spans="1:11" ht="6" customHeight="1" x14ac:dyDescent="0.25"/>
    <row r="186" spans="1:11" x14ac:dyDescent="0.25">
      <c r="C186" s="35"/>
      <c r="D186" s="240" t="s">
        <v>40</v>
      </c>
      <c r="E186" s="245">
        <f>1-SUM(E184,E172)</f>
        <v>0.45000000000000007</v>
      </c>
      <c r="F186" s="214">
        <f>IFERROR(IF(D186="",0,E186*VLOOKUP($D$5,'0. Control Panel'!$C$7:$E$16,3,FALSE)),0)</f>
        <v>66.825000000000003</v>
      </c>
      <c r="G186" s="180"/>
      <c r="H186" s="246"/>
    </row>
    <row r="187" spans="1:11" ht="6" customHeight="1" x14ac:dyDescent="0.25"/>
    <row r="188" spans="1:11" ht="16.5" thickBot="1" x14ac:dyDescent="0.3">
      <c r="D188" s="247" t="str">
        <f>+"Grand Total for "&amp;D160</f>
        <v>Grand Total for HR</v>
      </c>
      <c r="E188" s="248">
        <f>SUM(E172,E184,E186)</f>
        <v>1</v>
      </c>
      <c r="F188" s="249">
        <f>SUM(F172,F184,F186)</f>
        <v>118.80000000000001</v>
      </c>
      <c r="G188" s="250"/>
      <c r="H188" s="251">
        <f>SUM(H172,H184)</f>
        <v>2164758.7500000005</v>
      </c>
    </row>
    <row r="189" spans="1:11" ht="16.5" thickTop="1" x14ac:dyDescent="0.25"/>
    <row r="190" spans="1:11" x14ac:dyDescent="0.25">
      <c r="D190" s="256" t="str">
        <f>IFERROR("Total FTE of "&amp;D191&amp;": "&amp;VLOOKUP('1. FTE Allocations'!$D191,'0. Control Panel'!$C$7:$E$11,3,FALSE),"")</f>
        <v/>
      </c>
    </row>
    <row r="191" spans="1:11" s="74" customFormat="1" ht="31.5" x14ac:dyDescent="0.25">
      <c r="C191" s="187">
        <f>C160+1</f>
        <v>7</v>
      </c>
      <c r="D191" s="203" t="str">
        <f>IF(INDEX('0. Control Panel'!$B$6:$C$16,MATCH('1. FTE Allocations'!$C191,'0. Control Panel'!$B$6:$B$16,0),2)=0,"-",INDEX('0. Control Panel'!$B$6:$C$16,MATCH('1. FTE Allocations'!$C191,'0. Control Panel'!$B$6:$B$16,0),2))</f>
        <v>Finance</v>
      </c>
      <c r="E191" s="72" t="str">
        <f>"(% ) of "&amp;D191&amp;" FTE working on:"</f>
        <v>(% ) of Finance FTE working on:</v>
      </c>
      <c r="F191" s="232" t="s">
        <v>33</v>
      </c>
      <c r="G191" s="72" t="s">
        <v>37</v>
      </c>
      <c r="H191" s="72" t="s">
        <v>38</v>
      </c>
      <c r="K191" s="278"/>
    </row>
    <row r="192" spans="1:11" x14ac:dyDescent="0.25">
      <c r="D192" s="233" t="str">
        <f>'0. Control Panel'!$C$19</f>
        <v>Customer Process</v>
      </c>
    </row>
    <row r="193" spans="1:9" x14ac:dyDescent="0.25">
      <c r="A193" s="35" t="str">
        <f>$D$191&amp;C193</f>
        <v>FinanceC1</v>
      </c>
      <c r="C193" s="234" t="str">
        <f>IF('0. Control Panel'!$C$20="","",'0. Control Panel'!$B$20)</f>
        <v>C1</v>
      </c>
      <c r="D193" s="235" t="str">
        <f>IF(C193="-","-",INDEX('0. Control Panel'!$B$19:$K$29,MATCH('1. FTE Allocations'!$C193,'0. Control Panel'!$B$19:$B$29,0),MATCH(D$6,'0. Control Panel'!$B$19:$K$19,0)))</f>
        <v>Increased Customer Retention</v>
      </c>
      <c r="E193" s="282">
        <v>0</v>
      </c>
      <c r="F193" s="209">
        <f>IFERROR(IF(D193="",0,E193*VLOOKUP($D$191,'0. Control Panel'!$C$7:$E$16,3,FALSE)),0)</f>
        <v>0</v>
      </c>
      <c r="G193" s="282">
        <v>0</v>
      </c>
      <c r="H193" s="236">
        <f>IFERROR(IF(D193="",0,F193*VLOOKUP($D$5,'0. Control Panel'!$C$7:$F$16,4,FALSE)*G193),0)</f>
        <v>0</v>
      </c>
      <c r="I193" s="35">
        <f>IF(OR(AND(E193&lt;&gt;0,G193=0),AND(E193=0,G193&lt;&gt;0))=TRUE,1,0)</f>
        <v>0</v>
      </c>
    </row>
    <row r="194" spans="1:9" x14ac:dyDescent="0.25">
      <c r="A194" s="35" t="str">
        <f t="shared" ref="A194:A202" si="24">$D$191&amp;C194</f>
        <v>FinanceC2</v>
      </c>
      <c r="C194" s="237" t="str">
        <f>IF('0. Control Panel'!$C$21="","-",'0. Control Panel'!$B$21)</f>
        <v>C2</v>
      </c>
      <c r="D194" s="238" t="str">
        <f>IF(C194="-","-",INDEX('0. Control Panel'!$B$19:$K$29,MATCH('1. FTE Allocations'!$C194,'0. Control Panel'!$B$19:$B$29,0),MATCH(D$6,'0. Control Panel'!$B$19:$K$19,0)))</f>
        <v>Reduced Sales Order Errors</v>
      </c>
      <c r="E194" s="283">
        <v>0.2</v>
      </c>
      <c r="F194" s="209">
        <f>IFERROR(IF(D194="",0,E194*VLOOKUP($D$191,'0. Control Panel'!$C$7:$E$16,3,FALSE)),0)</f>
        <v>16.2</v>
      </c>
      <c r="G194" s="283">
        <v>0.5</v>
      </c>
      <c r="H194" s="236">
        <f>IFERROR(IF(D194="",0,F194*VLOOKUP($D$5,'0. Control Panel'!$C$7:$F$16,4,FALSE)*G194),0)</f>
        <v>445500</v>
      </c>
      <c r="I194" s="35">
        <f t="shared" ref="I194:I202" si="25">IF(OR(AND(E194&lt;&gt;0,G194=0),AND(E194=0,G194&lt;&gt;0))=TRUE,1,0)</f>
        <v>0</v>
      </c>
    </row>
    <row r="195" spans="1:9" x14ac:dyDescent="0.25">
      <c r="A195" s="35" t="str">
        <f t="shared" si="24"/>
        <v>FinanceC3</v>
      </c>
      <c r="C195" s="237" t="str">
        <f>IF('0. Control Panel'!$C$22="","-",'0. Control Panel'!$B$22)</f>
        <v>C3</v>
      </c>
      <c r="D195" s="238" t="str">
        <f>IF(C195="-","-",INDEX('0. Control Panel'!$B$19:$K$29,MATCH('1. FTE Allocations'!$C195,'0. Control Panel'!$B$19:$B$29,0),MATCH(D$6,'0. Control Panel'!$B$19:$K$19,0)))</f>
        <v>Reduced Sales Cycle Time</v>
      </c>
      <c r="E195" s="283">
        <v>0.1</v>
      </c>
      <c r="F195" s="209">
        <f>IFERROR(IF(D195="",0,E195*VLOOKUP($D$191,'0. Control Panel'!$C$7:$E$16,3,FALSE)),0)</f>
        <v>8.1</v>
      </c>
      <c r="G195" s="283">
        <v>0.5</v>
      </c>
      <c r="H195" s="236">
        <f>IFERROR(IF(D195="",0,F195*VLOOKUP($D$5,'0. Control Panel'!$C$7:$F$16,4,FALSE)*G195),0)</f>
        <v>222750</v>
      </c>
      <c r="I195" s="35">
        <f t="shared" si="25"/>
        <v>0</v>
      </c>
    </row>
    <row r="196" spans="1:9" x14ac:dyDescent="0.25">
      <c r="A196" s="35" t="str">
        <f t="shared" si="24"/>
        <v>FinanceC4</v>
      </c>
      <c r="C196" s="237" t="str">
        <f>IF('0. Control Panel'!$C$23="","-",'0. Control Panel'!$B$23)</f>
        <v>C4</v>
      </c>
      <c r="D196" s="238" t="str">
        <f>IF(C196="-","-",INDEX('0. Control Panel'!$B$19:$K$29,MATCH('1. FTE Allocations'!$C196,'0. Control Panel'!$B$19:$B$29,0),MATCH(D$6,'0. Control Panel'!$B$19:$K$19,0)))</f>
        <v>Increased Cross-Sell / Up-Sell</v>
      </c>
      <c r="E196" s="283">
        <v>0</v>
      </c>
      <c r="F196" s="209">
        <f>IFERROR(IF(D196="",0,E196*VLOOKUP($D$191,'0. Control Panel'!$C$7:$E$16,3,FALSE)),0)</f>
        <v>0</v>
      </c>
      <c r="G196" s="283">
        <v>0</v>
      </c>
      <c r="H196" s="236">
        <f>IFERROR(IF(D196="",0,F196*VLOOKUP($D$5,'0. Control Panel'!$C$7:$F$16,4,FALSE)*G196),0)</f>
        <v>0</v>
      </c>
      <c r="I196" s="35">
        <f t="shared" si="25"/>
        <v>0</v>
      </c>
    </row>
    <row r="197" spans="1:9" x14ac:dyDescent="0.25">
      <c r="A197" s="35" t="str">
        <f t="shared" si="24"/>
        <v>FinanceC5</v>
      </c>
      <c r="C197" s="237" t="str">
        <f>IF('0. Control Panel'!$C$24="","-",'0. Control Panel'!$B$24)</f>
        <v>C5</v>
      </c>
      <c r="D197" s="238" t="str">
        <f>IF(C197="-","-",INDEX('0. Control Panel'!$B$19:$K$29,MATCH('1. FTE Allocations'!$C197,'0. Control Panel'!$B$19:$B$29,0),MATCH(D$6,'0. Control Panel'!$B$19:$K$19,0)))</f>
        <v>Improved Marketing Response Rate</v>
      </c>
      <c r="E197" s="283">
        <v>0</v>
      </c>
      <c r="F197" s="209">
        <f>IFERROR(IF(D197="",0,E197*VLOOKUP($D$191,'0. Control Panel'!$C$7:$E$16,3,FALSE)),0)</f>
        <v>0</v>
      </c>
      <c r="G197" s="283">
        <v>0</v>
      </c>
      <c r="H197" s="236">
        <f>IFERROR(IF(D197="",0,F197*VLOOKUP($D$5,'0. Control Panel'!$C$7:$F$16,4,FALSE)*G197),0)</f>
        <v>0</v>
      </c>
      <c r="I197" s="35">
        <f t="shared" si="25"/>
        <v>0</v>
      </c>
    </row>
    <row r="198" spans="1:9" x14ac:dyDescent="0.25">
      <c r="A198" s="35" t="str">
        <f t="shared" si="24"/>
        <v>FinanceC6</v>
      </c>
      <c r="C198" s="237" t="str">
        <f>IF('0. Control Panel'!$C$25="","-",'0. Control Panel'!$B$25)</f>
        <v>C6</v>
      </c>
      <c r="D198" s="238" t="str">
        <f>IF(C198="-","-",INDEX('0. Control Panel'!$B$19:$K$29,MATCH('1. FTE Allocations'!$C198,'0. Control Panel'!$B$19:$B$29,0),MATCH(D$6,'0. Control Panel'!$B$19:$K$19,0)))</f>
        <v>Call Center Efficiency</v>
      </c>
      <c r="E198" s="283">
        <v>0</v>
      </c>
      <c r="F198" s="209">
        <f>IFERROR(IF(D198="",0,E198*VLOOKUP($D$191,'0. Control Panel'!$C$7:$E$16,3,FALSE)),0)</f>
        <v>0</v>
      </c>
      <c r="G198" s="283">
        <v>0</v>
      </c>
      <c r="H198" s="236">
        <f>IFERROR(IF(D198="",0,F198*VLOOKUP($D$5,'0. Control Panel'!$C$7:$F$16,4,FALSE)*G198),0)</f>
        <v>0</v>
      </c>
      <c r="I198" s="35">
        <f t="shared" si="25"/>
        <v>0</v>
      </c>
    </row>
    <row r="199" spans="1:9" x14ac:dyDescent="0.25">
      <c r="A199" s="35" t="str">
        <f t="shared" si="24"/>
        <v>FinanceC7</v>
      </c>
      <c r="C199" s="237" t="str">
        <f>IF('0. Control Panel'!$C$26="","-",'0. Control Panel'!$B$26)</f>
        <v>C7</v>
      </c>
      <c r="D199" s="238" t="str">
        <f>IF(C199="-","-",INDEX('0. Control Panel'!$B$19:$K$29,MATCH('1. FTE Allocations'!$C199,'0. Control Panel'!$B$19:$B$29,0),MATCH(D$6,'0. Control Panel'!$B$19:$K$19,0)))</f>
        <v>Economies of Scale (M&amp;A)</v>
      </c>
      <c r="E199" s="283">
        <v>0.1</v>
      </c>
      <c r="F199" s="209">
        <f>IFERROR(IF(D199="",0,E199*VLOOKUP($D$191,'0. Control Panel'!$C$7:$E$16,3,FALSE)),0)</f>
        <v>8.1</v>
      </c>
      <c r="G199" s="283">
        <v>1</v>
      </c>
      <c r="H199" s="236">
        <f>IFERROR(IF(D199="",0,F199*VLOOKUP($D$5,'0. Control Panel'!$C$7:$F$16,4,FALSE)*G199),0)</f>
        <v>445500</v>
      </c>
      <c r="I199" s="35">
        <f t="shared" si="25"/>
        <v>0</v>
      </c>
    </row>
    <row r="200" spans="1:9" x14ac:dyDescent="0.25">
      <c r="A200" s="35" t="str">
        <f t="shared" si="24"/>
        <v>Finance-</v>
      </c>
      <c r="C200" s="237" t="str">
        <f>IF('0. Control Panel'!$C$27="","-",'0. Control Panel'!$B$27)</f>
        <v>-</v>
      </c>
      <c r="D200" s="238" t="str">
        <f>IF(C200="-","-",INDEX('0. Control Panel'!$B$19:$K$29,MATCH('1. FTE Allocations'!$C200,'0. Control Panel'!$B$19:$B$29,0),MATCH(D$6,'0. Control Panel'!$B$19:$K$19,0)))</f>
        <v>-</v>
      </c>
      <c r="E200" s="283">
        <v>0</v>
      </c>
      <c r="F200" s="209">
        <f>IFERROR(IF(D200="",0,E200*VLOOKUP($D$191,'0. Control Panel'!$C$7:$E$16,3,FALSE)),0)</f>
        <v>0</v>
      </c>
      <c r="G200" s="283">
        <v>0</v>
      </c>
      <c r="H200" s="236">
        <f>IFERROR(IF(D200="",0,F200*VLOOKUP($D$5,'0. Control Panel'!$C$7:$F$16,4,FALSE)*G200),0)</f>
        <v>0</v>
      </c>
      <c r="I200" s="35">
        <f t="shared" si="25"/>
        <v>0</v>
      </c>
    </row>
    <row r="201" spans="1:9" x14ac:dyDescent="0.25">
      <c r="A201" s="35" t="str">
        <f t="shared" si="24"/>
        <v>Finance-</v>
      </c>
      <c r="C201" s="237" t="str">
        <f>IF('0. Control Panel'!$C$28="","-",'0. Control Panel'!$B$28)</f>
        <v>-</v>
      </c>
      <c r="D201" s="238" t="str">
        <f>IF(C201="-","-",INDEX('0. Control Panel'!$B$19:$K$29,MATCH('1. FTE Allocations'!$C201,'0. Control Panel'!$B$19:$B$29,0),MATCH(D$6,'0. Control Panel'!$B$19:$K$19,0)))</f>
        <v>-</v>
      </c>
      <c r="E201" s="283">
        <v>0</v>
      </c>
      <c r="F201" s="209">
        <f>IFERROR(IF(D201="",0,E201*VLOOKUP($D$191,'0. Control Panel'!$C$7:$E$16,3,FALSE)),0)</f>
        <v>0</v>
      </c>
      <c r="G201" s="283">
        <v>0</v>
      </c>
      <c r="H201" s="236">
        <f>IFERROR(IF(D201="",0,F201*VLOOKUP($D$5,'0. Control Panel'!$C$7:$F$16,4,FALSE)*G201),0)</f>
        <v>0</v>
      </c>
      <c r="I201" s="35">
        <f t="shared" si="25"/>
        <v>0</v>
      </c>
    </row>
    <row r="202" spans="1:9" x14ac:dyDescent="0.25">
      <c r="A202" s="35" t="str">
        <f t="shared" si="24"/>
        <v>Finance-</v>
      </c>
      <c r="C202" s="239" t="str">
        <f>IF('0. Control Panel'!$C$29="","-",'0. Control Panel'!$B$29)</f>
        <v>-</v>
      </c>
      <c r="D202" s="240" t="str">
        <f>IF(C202="-","-",INDEX('0. Control Panel'!$B$19:$K$29,MATCH('1. FTE Allocations'!$C202,'0. Control Panel'!$B$19:$B$29,0),MATCH(D$6,'0. Control Panel'!$B$19:$K$19,0)))</f>
        <v>-</v>
      </c>
      <c r="E202" s="284">
        <v>0</v>
      </c>
      <c r="F202" s="209">
        <f>IFERROR(IF(D202="",0,E202*VLOOKUP($D$191,'0. Control Panel'!$C$7:$E$16,3,FALSE)),0)</f>
        <v>0</v>
      </c>
      <c r="G202" s="284">
        <v>0</v>
      </c>
      <c r="H202" s="236">
        <f>IFERROR(IF(D202="",0,F202*VLOOKUP($D$5,'0. Control Panel'!$C$7:$F$16,4,FALSE)*G202),0)</f>
        <v>0</v>
      </c>
      <c r="I202" s="35">
        <f t="shared" si="25"/>
        <v>0</v>
      </c>
    </row>
    <row r="203" spans="1:9" x14ac:dyDescent="0.25">
      <c r="D203" s="241" t="s">
        <v>32</v>
      </c>
      <c r="E203" s="242">
        <f>SUM(E193:E202)</f>
        <v>0.4</v>
      </c>
      <c r="F203" s="243">
        <f>SUM(F193:F202)</f>
        <v>32.4</v>
      </c>
      <c r="G203" s="242"/>
      <c r="H203" s="244">
        <f>SUM(H193:H202)</f>
        <v>1113750</v>
      </c>
    </row>
    <row r="204" spans="1:9" x14ac:dyDescent="0.25">
      <c r="D204" s="233" t="str">
        <f>'0. Control Panel'!$C$31</f>
        <v>Product Process</v>
      </c>
    </row>
    <row r="205" spans="1:9" x14ac:dyDescent="0.25">
      <c r="A205" s="35" t="str">
        <f>$D$191&amp;C205</f>
        <v>FinanceP1</v>
      </c>
      <c r="C205" s="234" t="str">
        <f>IF('0. Control Panel'!$C$32="","-",'0. Control Panel'!$B$32)</f>
        <v>P1</v>
      </c>
      <c r="D205" s="240" t="str">
        <f>IF(C205="-","-",INDEX('0. Control Panel'!$B$31:$K$41,MATCH('1. FTE Allocations'!$C205,'0. Control Panel'!$B$31:$B$41,0),MATCH(D$18,'0. Control Panel'!$B$31:$K$31,0)))</f>
        <v>Reduced Data Management Costs</v>
      </c>
      <c r="E205" s="282">
        <v>0</v>
      </c>
      <c r="F205" s="209">
        <f>IFERROR(IF(D205="",0,E205*VLOOKUP($D$191,'0. Control Panel'!$C$7:$E$16,3,FALSE)),0)</f>
        <v>0</v>
      </c>
      <c r="G205" s="282">
        <v>0</v>
      </c>
      <c r="H205" s="236">
        <f>IFERROR(IF(D205="",0,F205*VLOOKUP($D$5,'0. Control Panel'!$C$7:$F$16,4,FALSE)*G205),0)</f>
        <v>0</v>
      </c>
      <c r="I205" s="35">
        <f>IF(OR(AND(E205&lt;&gt;0,G205=0),AND(E205=0,G205&lt;&gt;0))=TRUE,1,0)</f>
        <v>0</v>
      </c>
    </row>
    <row r="206" spans="1:9" x14ac:dyDescent="0.25">
      <c r="A206" s="35" t="str">
        <f t="shared" ref="A206:A214" si="26">$D$191&amp;C206</f>
        <v>FinanceP2</v>
      </c>
      <c r="C206" s="237" t="str">
        <f>IF('0. Control Panel'!$C$33="","-",'0. Control Panel'!$B$33)</f>
        <v>P2</v>
      </c>
      <c r="D206" s="240" t="str">
        <f>IF(C206="-","-",INDEX('0. Control Panel'!$B$31:$K$41,MATCH('1. FTE Allocations'!$C206,'0. Control Panel'!$B$31:$B$41,0),MATCH(D$18,'0. Control Panel'!$B$31:$K$31,0)))</f>
        <v>Reduced Report Generation Cost</v>
      </c>
      <c r="E206" s="283">
        <v>0.3</v>
      </c>
      <c r="F206" s="209">
        <f>IFERROR(IF(D206="",0,E206*VLOOKUP($D$191,'0. Control Panel'!$C$7:$E$16,3,FALSE)),0)</f>
        <v>24.3</v>
      </c>
      <c r="G206" s="283">
        <v>0.8</v>
      </c>
      <c r="H206" s="236">
        <f>IFERROR(IF(D206="",0,F206*VLOOKUP($D$5,'0. Control Panel'!$C$7:$F$16,4,FALSE)*G206),0)</f>
        <v>1069200</v>
      </c>
      <c r="I206" s="35">
        <f t="shared" ref="I206:I214" si="27">IF(OR(AND(E206&lt;&gt;0,G206=0),AND(E206=0,G206&lt;&gt;0))=TRUE,1,0)</f>
        <v>0</v>
      </c>
    </row>
    <row r="207" spans="1:9" x14ac:dyDescent="0.25">
      <c r="A207" s="35" t="str">
        <f t="shared" si="26"/>
        <v>FinanceP3</v>
      </c>
      <c r="C207" s="237" t="str">
        <f>IF('0. Control Panel'!$C$34="","-",'0. Control Panel'!$B$34)</f>
        <v>P3</v>
      </c>
      <c r="D207" s="240" t="str">
        <f>IF(C207="-","-",INDEX('0. Control Panel'!$B$31:$K$41,MATCH('1. FTE Allocations'!$C207,'0. Control Panel'!$B$31:$B$41,0),MATCH(D$18,'0. Control Panel'!$B$31:$K$31,0)))</f>
        <v>Reduced Integration Costs</v>
      </c>
      <c r="E207" s="283">
        <v>0</v>
      </c>
      <c r="F207" s="209">
        <f>IFERROR(IF(D207="",0,E207*VLOOKUP($D$191,'0. Control Panel'!$C$7:$E$16,3,FALSE)),0)</f>
        <v>0</v>
      </c>
      <c r="G207" s="283">
        <v>0</v>
      </c>
      <c r="H207" s="236">
        <f>IFERROR(IF(D207="",0,F207*VLOOKUP($D$5,'0. Control Panel'!$C$7:$F$16,4,FALSE)*G207),0)</f>
        <v>0</v>
      </c>
      <c r="I207" s="35">
        <f t="shared" si="27"/>
        <v>0</v>
      </c>
    </row>
    <row r="208" spans="1:9" x14ac:dyDescent="0.25">
      <c r="A208" s="35" t="str">
        <f t="shared" si="26"/>
        <v>FinanceP4</v>
      </c>
      <c r="C208" s="237" t="str">
        <f>IF('0. Control Panel'!$C$35="","-",'0. Control Panel'!$B$35)</f>
        <v>P4</v>
      </c>
      <c r="D208" s="240" t="str">
        <f>IF(C208="-","-",INDEX('0. Control Panel'!$B$31:$K$41,MATCH('1. FTE Allocations'!$C208,'0. Control Panel'!$B$31:$B$41,0),MATCH(D$18,'0. Control Panel'!$B$31:$K$31,0)))</f>
        <v>Reduced Marketing Costs</v>
      </c>
      <c r="E208" s="283">
        <v>0</v>
      </c>
      <c r="F208" s="209">
        <f>IFERROR(IF(D208="",0,E208*VLOOKUP($D$191,'0. Control Panel'!$C$7:$E$16,3,FALSE)),0)</f>
        <v>0</v>
      </c>
      <c r="G208" s="283">
        <v>0</v>
      </c>
      <c r="H208" s="236">
        <f>IFERROR(IF(D208="",0,F208*VLOOKUP($D$5,'0. Control Panel'!$C$7:$F$16,4,FALSE)*G208),0)</f>
        <v>0</v>
      </c>
      <c r="I208" s="35">
        <f t="shared" si="27"/>
        <v>0</v>
      </c>
    </row>
    <row r="209" spans="1:11" x14ac:dyDescent="0.25">
      <c r="A209" s="35" t="str">
        <f t="shared" si="26"/>
        <v>FinanceP5</v>
      </c>
      <c r="C209" s="237" t="str">
        <f>IF('0. Control Panel'!$C$36="","-",'0. Control Panel'!$B$36)</f>
        <v>P5</v>
      </c>
      <c r="D209" s="240" t="str">
        <f>IF(C209="-","-",INDEX('0. Control Panel'!$B$31:$K$41,MATCH('1. FTE Allocations'!$C209,'0. Control Panel'!$B$31:$B$41,0),MATCH(D$18,'0. Control Panel'!$B$31:$K$31,0)))</f>
        <v>Reduced Time to Take New Product to Market</v>
      </c>
      <c r="E209" s="283">
        <v>0</v>
      </c>
      <c r="F209" s="209">
        <f>IFERROR(IF(D209="",0,E209*VLOOKUP($D$191,'0. Control Panel'!$C$7:$E$16,3,FALSE)),0)</f>
        <v>0</v>
      </c>
      <c r="G209" s="283">
        <v>0</v>
      </c>
      <c r="H209" s="236">
        <f>IFERROR(IF(D209="",0,F209*VLOOKUP($D$5,'0. Control Panel'!$C$7:$F$16,4,FALSE)*G209),0)</f>
        <v>0</v>
      </c>
      <c r="I209" s="35">
        <f t="shared" si="27"/>
        <v>0</v>
      </c>
    </row>
    <row r="210" spans="1:11" x14ac:dyDescent="0.25">
      <c r="A210" s="35" t="str">
        <f t="shared" si="26"/>
        <v>FinanceP6</v>
      </c>
      <c r="C210" s="237" t="str">
        <f>IF('0. Control Panel'!$C$37="","-",'0. Control Panel'!$B$37)</f>
        <v>P6</v>
      </c>
      <c r="D210" s="240" t="str">
        <f>IF(C210="-","-",INDEX('0. Control Panel'!$B$31:$K$41,MATCH('1. FTE Allocations'!$C210,'0. Control Panel'!$B$31:$B$41,0),MATCH(D$18,'0. Control Panel'!$B$31:$K$31,0)))</f>
        <v>Reduced Credit Risk Costs</v>
      </c>
      <c r="E210" s="283">
        <v>0.2</v>
      </c>
      <c r="F210" s="209">
        <f>IFERROR(IF(D210="",0,E210*VLOOKUP($D$191,'0. Control Panel'!$C$7:$E$16,3,FALSE)),0)</f>
        <v>16.2</v>
      </c>
      <c r="G210" s="283">
        <v>1</v>
      </c>
      <c r="H210" s="236">
        <f>IFERROR(IF(D210="",0,F210*VLOOKUP($D$5,'0. Control Panel'!$C$7:$F$16,4,FALSE)*G210),0)</f>
        <v>891000</v>
      </c>
      <c r="I210" s="35">
        <f t="shared" si="27"/>
        <v>0</v>
      </c>
    </row>
    <row r="211" spans="1:11" x14ac:dyDescent="0.25">
      <c r="A211" s="35" t="str">
        <f t="shared" si="26"/>
        <v>FinanceP7</v>
      </c>
      <c r="C211" s="237" t="str">
        <f>IF('0. Control Panel'!$C$38="","-",'0. Control Panel'!$B$38)</f>
        <v>P7</v>
      </c>
      <c r="D211" s="240" t="str">
        <f>IF(C211="-","-",INDEX('0. Control Panel'!$B$31:$K$41,MATCH('1. FTE Allocations'!$C211,'0. Control Panel'!$B$31:$B$41,0),MATCH(D$18,'0. Control Panel'!$B$31:$K$31,0)))</f>
        <v>Reduced Non-Compliance Risk  Costs</v>
      </c>
      <c r="E211" s="283">
        <v>0.1</v>
      </c>
      <c r="F211" s="209">
        <f>IFERROR(IF(D211="",0,E211*VLOOKUP($D$191,'0. Control Panel'!$C$7:$E$16,3,FALSE)),0)</f>
        <v>8.1</v>
      </c>
      <c r="G211" s="283">
        <v>1</v>
      </c>
      <c r="H211" s="236">
        <f>IFERROR(IF(D211="",0,F211*VLOOKUP($D$5,'0. Control Panel'!$C$7:$F$16,4,FALSE)*G211),0)</f>
        <v>445500</v>
      </c>
      <c r="I211" s="35">
        <f t="shared" si="27"/>
        <v>0</v>
      </c>
    </row>
    <row r="212" spans="1:11" x14ac:dyDescent="0.25">
      <c r="A212" s="35" t="str">
        <f t="shared" si="26"/>
        <v>Finance-</v>
      </c>
      <c r="C212" s="237" t="str">
        <f>IF('0. Control Panel'!C209="","-",'0. Control Panel'!B213)</f>
        <v>-</v>
      </c>
      <c r="D212" s="240" t="str">
        <f>IF(C212="-","-",INDEX('0. Control Panel'!$B$31:$K$41,MATCH('1. FTE Allocations'!$C212,'0. Control Panel'!$B$31:$B$41,0),MATCH(D$18,'0. Control Panel'!$B$31:$K$31,0)))</f>
        <v>-</v>
      </c>
      <c r="E212" s="283">
        <v>0</v>
      </c>
      <c r="F212" s="209">
        <f>IFERROR(IF(D212="",0,E212*VLOOKUP($D$191,'0. Control Panel'!$C$7:$E$16,3,FALSE)),0)</f>
        <v>0</v>
      </c>
      <c r="G212" s="283">
        <v>0</v>
      </c>
      <c r="H212" s="236">
        <f>IFERROR(IF(D212="",0,F212*VLOOKUP($D$5,'0. Control Panel'!$C$7:$F$16,4,FALSE)*G212),0)</f>
        <v>0</v>
      </c>
      <c r="I212" s="35">
        <f t="shared" si="27"/>
        <v>0</v>
      </c>
    </row>
    <row r="213" spans="1:11" x14ac:dyDescent="0.25">
      <c r="A213" s="35" t="str">
        <f t="shared" si="26"/>
        <v>Finance-</v>
      </c>
      <c r="C213" s="237" t="str">
        <f>IF('0. Control Panel'!C210="","-",'0. Control Panel'!B214)</f>
        <v>-</v>
      </c>
      <c r="D213" s="240" t="str">
        <f>IF(C213="-","-",INDEX('0. Control Panel'!$B$31:$K$41,MATCH('1. FTE Allocations'!$C213,'0. Control Panel'!$B$31:$B$41,0),MATCH(D$18,'0. Control Panel'!$B$31:$K$31,0)))</f>
        <v>-</v>
      </c>
      <c r="E213" s="283">
        <v>0</v>
      </c>
      <c r="F213" s="209">
        <f>IFERROR(IF(D213="",0,E213*VLOOKUP($D$191,'0. Control Panel'!$C$7:$E$16,3,FALSE)),0)</f>
        <v>0</v>
      </c>
      <c r="G213" s="283">
        <v>0</v>
      </c>
      <c r="H213" s="236">
        <f>IFERROR(IF(D213="",0,F213*VLOOKUP($D$5,'0. Control Panel'!$C$7:$F$16,4,FALSE)*G213),0)</f>
        <v>0</v>
      </c>
      <c r="I213" s="35">
        <f t="shared" si="27"/>
        <v>0</v>
      </c>
    </row>
    <row r="214" spans="1:11" x14ac:dyDescent="0.25">
      <c r="A214" s="35" t="str">
        <f t="shared" si="26"/>
        <v>Finance-</v>
      </c>
      <c r="C214" s="239" t="str">
        <f>IF('0. Control Panel'!C211="","-",'0. Control Panel'!B215)</f>
        <v>-</v>
      </c>
      <c r="D214" s="240" t="str">
        <f>IF(C214="-","-",INDEX('0. Control Panel'!$B$31:$K$41,MATCH('1. FTE Allocations'!$C214,'0. Control Panel'!$B$31:$B$41,0),MATCH(D$18,'0. Control Panel'!$B$31:$K$31,0)))</f>
        <v>-</v>
      </c>
      <c r="E214" s="284">
        <v>0</v>
      </c>
      <c r="F214" s="209">
        <f>IFERROR(IF(D214="",0,E214*VLOOKUP($D$191,'0. Control Panel'!$C$7:$E$16,3,FALSE)),0)</f>
        <v>0</v>
      </c>
      <c r="G214" s="284">
        <v>0</v>
      </c>
      <c r="H214" s="236">
        <f>IFERROR(IF(D214="",0,F214*VLOOKUP($D$5,'0. Control Panel'!$C$7:$F$16,4,FALSE)*G214),0)</f>
        <v>0</v>
      </c>
      <c r="I214" s="35">
        <f t="shared" si="27"/>
        <v>0</v>
      </c>
    </row>
    <row r="215" spans="1:11" x14ac:dyDescent="0.25">
      <c r="D215" s="241" t="s">
        <v>32</v>
      </c>
      <c r="E215" s="242">
        <f>SUM(E205:E214)</f>
        <v>0.6</v>
      </c>
      <c r="F215" s="243">
        <f>SUM(F205:F214)</f>
        <v>48.6</v>
      </c>
      <c r="G215" s="242"/>
      <c r="H215" s="244">
        <f>SUM(H205:H214)</f>
        <v>2405700</v>
      </c>
    </row>
    <row r="216" spans="1:11" ht="6" customHeight="1" x14ac:dyDescent="0.25"/>
    <row r="217" spans="1:11" x14ac:dyDescent="0.25">
      <c r="C217" s="35"/>
      <c r="D217" s="240" t="s">
        <v>40</v>
      </c>
      <c r="E217" s="245">
        <f>1-SUM(E215,E203)</f>
        <v>0</v>
      </c>
      <c r="F217" s="214">
        <f>IFERROR(IF(D217="",0,E217*VLOOKUP($D$5,'0. Control Panel'!$C$7:$E$16,3,FALSE)),0)</f>
        <v>0</v>
      </c>
      <c r="G217" s="180"/>
      <c r="H217" s="246"/>
    </row>
    <row r="218" spans="1:11" ht="6" customHeight="1" x14ac:dyDescent="0.25"/>
    <row r="219" spans="1:11" ht="16.5" thickBot="1" x14ac:dyDescent="0.3">
      <c r="D219" s="247" t="str">
        <f>+"Grand Total for "&amp;D191</f>
        <v>Grand Total for Finance</v>
      </c>
      <c r="E219" s="248">
        <f>SUM(E203,E215,E217)</f>
        <v>1</v>
      </c>
      <c r="F219" s="249">
        <f>SUM(F203,F215,F217)</f>
        <v>81</v>
      </c>
      <c r="G219" s="250"/>
      <c r="H219" s="251">
        <f>SUM(H203,H215)</f>
        <v>3519450</v>
      </c>
    </row>
    <row r="220" spans="1:11" ht="16.5" thickTop="1" x14ac:dyDescent="0.25"/>
    <row r="221" spans="1:11" x14ac:dyDescent="0.25">
      <c r="D221" s="256" t="str">
        <f>IFERROR("Total FTE of "&amp;D222&amp;": "&amp;VLOOKUP('1. FTE Allocations'!$D222,'0. Control Panel'!$C$7:$E$11,3,FALSE),"")</f>
        <v/>
      </c>
    </row>
    <row r="222" spans="1:11" s="74" customFormat="1" ht="31.5" x14ac:dyDescent="0.25">
      <c r="C222" s="187">
        <f>C191+1</f>
        <v>8</v>
      </c>
      <c r="D222" s="203" t="str">
        <f>IF(INDEX('0. Control Panel'!$B$6:$C$16,MATCH('1. FTE Allocations'!$C222,'0. Control Panel'!$B$6:$B$16,0),2)=0,"-",INDEX('0. Control Panel'!$B$6:$C$16,MATCH('1. FTE Allocations'!$C222,'0. Control Panel'!$B$6:$B$16,0),2))</f>
        <v>Head Office</v>
      </c>
      <c r="E222" s="72" t="str">
        <f>"(% ) of "&amp;D222&amp;" FTE working on:"</f>
        <v>(% ) of Head Office FTE working on:</v>
      </c>
      <c r="F222" s="232" t="s">
        <v>33</v>
      </c>
      <c r="G222" s="72" t="s">
        <v>37</v>
      </c>
      <c r="H222" s="72" t="s">
        <v>38</v>
      </c>
      <c r="K222" s="278"/>
    </row>
    <row r="223" spans="1:11" x14ac:dyDescent="0.25">
      <c r="D223" s="233" t="str">
        <f>'0. Control Panel'!$C$19</f>
        <v>Customer Process</v>
      </c>
    </row>
    <row r="224" spans="1:11" x14ac:dyDescent="0.25">
      <c r="A224" s="35" t="str">
        <f>$D$222&amp;C224</f>
        <v>Head OfficeC1</v>
      </c>
      <c r="C224" s="234" t="str">
        <f>IF('0. Control Panel'!$C$20="","",'0. Control Panel'!$B$20)</f>
        <v>C1</v>
      </c>
      <c r="D224" s="235" t="str">
        <f>IF(C224="-","-",INDEX('0. Control Panel'!$B$19:$K$29,MATCH('1. FTE Allocations'!$C224,'0. Control Panel'!$B$19:$B$29,0),MATCH(D$6,'0. Control Panel'!$B$19:$K$19,0)))</f>
        <v>Increased Customer Retention</v>
      </c>
      <c r="E224" s="282">
        <v>0</v>
      </c>
      <c r="F224" s="209">
        <f>IFERROR(IF(D224="",0,E224*VLOOKUP($D$222,'0. Control Panel'!$C$7:$E$16,3,FALSE)),0)</f>
        <v>0</v>
      </c>
      <c r="G224" s="282">
        <v>0</v>
      </c>
      <c r="H224" s="236">
        <f>IFERROR(IF(D224="",0,F224*VLOOKUP($D$5,'0. Control Panel'!$C$7:$F$16,4,FALSE)*G224),0)</f>
        <v>0</v>
      </c>
      <c r="I224" s="35">
        <f>IF(OR(AND(E224&lt;&gt;0,G224=0),AND(E224=0,G224&lt;&gt;0))=TRUE,1,0)</f>
        <v>0</v>
      </c>
    </row>
    <row r="225" spans="1:9" x14ac:dyDescent="0.25">
      <c r="A225" s="35" t="str">
        <f t="shared" ref="A225:A233" si="28">$D$222&amp;C225</f>
        <v>Head OfficeC2</v>
      </c>
      <c r="C225" s="237" t="str">
        <f>IF('0. Control Panel'!$C$21="","-",'0. Control Panel'!$B$21)</f>
        <v>C2</v>
      </c>
      <c r="D225" s="238" t="str">
        <f>IF(C225="-","-",INDEX('0. Control Panel'!$B$19:$K$29,MATCH('1. FTE Allocations'!$C225,'0. Control Panel'!$B$19:$B$29,0),MATCH(D$6,'0. Control Panel'!$B$19:$K$19,0)))</f>
        <v>Reduced Sales Order Errors</v>
      </c>
      <c r="E225" s="283">
        <v>0</v>
      </c>
      <c r="F225" s="209">
        <f>IFERROR(IF(D225="",0,E225*VLOOKUP($D$222,'0. Control Panel'!$C$7:$E$16,3,FALSE)),0)</f>
        <v>0</v>
      </c>
      <c r="G225" s="283">
        <v>0</v>
      </c>
      <c r="H225" s="236">
        <f>IFERROR(IF(D225="",0,F225*VLOOKUP($D$5,'0. Control Panel'!$C$7:$F$16,4,FALSE)*G225),0)</f>
        <v>0</v>
      </c>
      <c r="I225" s="35">
        <f t="shared" ref="I225:I233" si="29">IF(OR(AND(E225&lt;&gt;0,G225=0),AND(E225=0,G225&lt;&gt;0))=TRUE,1,0)</f>
        <v>0</v>
      </c>
    </row>
    <row r="226" spans="1:9" x14ac:dyDescent="0.25">
      <c r="A226" s="35" t="str">
        <f t="shared" si="28"/>
        <v>Head OfficeC3</v>
      </c>
      <c r="C226" s="237" t="str">
        <f>IF('0. Control Panel'!$C$22="","-",'0. Control Panel'!$B$22)</f>
        <v>C3</v>
      </c>
      <c r="D226" s="238" t="str">
        <f>IF(C226="-","-",INDEX('0. Control Panel'!$B$19:$K$29,MATCH('1. FTE Allocations'!$C226,'0. Control Panel'!$B$19:$B$29,0),MATCH(D$6,'0. Control Panel'!$B$19:$K$19,0)))</f>
        <v>Reduced Sales Cycle Time</v>
      </c>
      <c r="E226" s="283">
        <v>0</v>
      </c>
      <c r="F226" s="209">
        <f>IFERROR(IF(D226="",0,E226*VLOOKUP($D$222,'0. Control Panel'!$C$7:$E$16,3,FALSE)),0)</f>
        <v>0</v>
      </c>
      <c r="G226" s="283">
        <v>0</v>
      </c>
      <c r="H226" s="236">
        <f>IFERROR(IF(D226="",0,F226*VLOOKUP($D$5,'0. Control Panel'!$C$7:$F$16,4,FALSE)*G226),0)</f>
        <v>0</v>
      </c>
      <c r="I226" s="35">
        <f t="shared" si="29"/>
        <v>0</v>
      </c>
    </row>
    <row r="227" spans="1:9" x14ac:dyDescent="0.25">
      <c r="A227" s="35" t="str">
        <f t="shared" si="28"/>
        <v>Head OfficeC4</v>
      </c>
      <c r="C227" s="237" t="str">
        <f>IF('0. Control Panel'!$C$23="","-",'0. Control Panel'!$B$23)</f>
        <v>C4</v>
      </c>
      <c r="D227" s="238" t="str">
        <f>IF(C227="-","-",INDEX('0. Control Panel'!$B$19:$K$29,MATCH('1. FTE Allocations'!$C227,'0. Control Panel'!$B$19:$B$29,0),MATCH(D$6,'0. Control Panel'!$B$19:$K$19,0)))</f>
        <v>Increased Cross-Sell / Up-Sell</v>
      </c>
      <c r="E227" s="283">
        <v>0</v>
      </c>
      <c r="F227" s="209">
        <f>IFERROR(IF(D227="",0,E227*VLOOKUP($D$222,'0. Control Panel'!$C$7:$E$16,3,FALSE)),0)</f>
        <v>0</v>
      </c>
      <c r="G227" s="283">
        <v>0</v>
      </c>
      <c r="H227" s="236">
        <f>IFERROR(IF(D227="",0,F227*VLOOKUP($D$5,'0. Control Panel'!$C$7:$F$16,4,FALSE)*G227),0)</f>
        <v>0</v>
      </c>
      <c r="I227" s="35">
        <f t="shared" si="29"/>
        <v>0</v>
      </c>
    </row>
    <row r="228" spans="1:9" x14ac:dyDescent="0.25">
      <c r="A228" s="35" t="str">
        <f t="shared" si="28"/>
        <v>Head OfficeC5</v>
      </c>
      <c r="C228" s="237" t="str">
        <f>IF('0. Control Panel'!$C$24="","-",'0. Control Panel'!$B$24)</f>
        <v>C5</v>
      </c>
      <c r="D228" s="238" t="str">
        <f>IF(C228="-","-",INDEX('0. Control Panel'!$B$19:$K$29,MATCH('1. FTE Allocations'!$C228,'0. Control Panel'!$B$19:$B$29,0),MATCH(D$6,'0. Control Panel'!$B$19:$K$19,0)))</f>
        <v>Improved Marketing Response Rate</v>
      </c>
      <c r="E228" s="283">
        <v>0</v>
      </c>
      <c r="F228" s="209">
        <f>IFERROR(IF(D228="",0,E228*VLOOKUP($D$222,'0. Control Panel'!$C$7:$E$16,3,FALSE)),0)</f>
        <v>0</v>
      </c>
      <c r="G228" s="283">
        <v>0</v>
      </c>
      <c r="H228" s="236">
        <f>IFERROR(IF(D228="",0,F228*VLOOKUP($D$5,'0. Control Panel'!$C$7:$F$16,4,FALSE)*G228),0)</f>
        <v>0</v>
      </c>
      <c r="I228" s="35">
        <f t="shared" si="29"/>
        <v>0</v>
      </c>
    </row>
    <row r="229" spans="1:9" x14ac:dyDescent="0.25">
      <c r="A229" s="35" t="str">
        <f t="shared" si="28"/>
        <v>Head OfficeC6</v>
      </c>
      <c r="C229" s="237" t="str">
        <f>IF('0. Control Panel'!$C$25="","-",'0. Control Panel'!$B$25)</f>
        <v>C6</v>
      </c>
      <c r="D229" s="238" t="str">
        <f>IF(C229="-","-",INDEX('0. Control Panel'!$B$19:$K$29,MATCH('1. FTE Allocations'!$C229,'0. Control Panel'!$B$19:$B$29,0),MATCH(D$6,'0. Control Panel'!$B$19:$K$19,0)))</f>
        <v>Call Center Efficiency</v>
      </c>
      <c r="E229" s="283">
        <v>0</v>
      </c>
      <c r="F229" s="209">
        <f>IFERROR(IF(D229="",0,E229*VLOOKUP($D$222,'0. Control Panel'!$C$7:$E$16,3,FALSE)),0)</f>
        <v>0</v>
      </c>
      <c r="G229" s="283">
        <v>0</v>
      </c>
      <c r="H229" s="236">
        <f>IFERROR(IF(D229="",0,F229*VLOOKUP($D$5,'0. Control Panel'!$C$7:$F$16,4,FALSE)*G229),0)</f>
        <v>0</v>
      </c>
      <c r="I229" s="35">
        <f t="shared" si="29"/>
        <v>0</v>
      </c>
    </row>
    <row r="230" spans="1:9" x14ac:dyDescent="0.25">
      <c r="A230" s="35" t="str">
        <f t="shared" si="28"/>
        <v>Head OfficeC7</v>
      </c>
      <c r="C230" s="237" t="str">
        <f>IF('0. Control Panel'!$C$26="","-",'0. Control Panel'!$B$26)</f>
        <v>C7</v>
      </c>
      <c r="D230" s="238" t="str">
        <f>IF(C230="-","-",INDEX('0. Control Panel'!$B$19:$K$29,MATCH('1. FTE Allocations'!$C230,'0. Control Panel'!$B$19:$B$29,0),MATCH(D$6,'0. Control Panel'!$B$19:$K$19,0)))</f>
        <v>Economies of Scale (M&amp;A)</v>
      </c>
      <c r="E230" s="283">
        <v>0.3</v>
      </c>
      <c r="F230" s="209">
        <f>IFERROR(IF(D230="",0,E230*VLOOKUP($D$222,'0. Control Panel'!$C$7:$E$16,3,FALSE)),0)</f>
        <v>12.15</v>
      </c>
      <c r="G230" s="283">
        <v>0.5</v>
      </c>
      <c r="H230" s="236">
        <f>IFERROR(IF(D230="",0,F230*VLOOKUP($D$5,'0. Control Panel'!$C$7:$F$16,4,FALSE)*G230),0)</f>
        <v>334125</v>
      </c>
      <c r="I230" s="35">
        <f t="shared" si="29"/>
        <v>0</v>
      </c>
    </row>
    <row r="231" spans="1:9" x14ac:dyDescent="0.25">
      <c r="A231" s="35" t="str">
        <f t="shared" si="28"/>
        <v>Head Office-</v>
      </c>
      <c r="C231" s="237" t="str">
        <f>IF('0. Control Panel'!$C$27="","-",'0. Control Panel'!$B$27)</f>
        <v>-</v>
      </c>
      <c r="D231" s="238" t="str">
        <f>IF(C231="-","-",INDEX('0. Control Panel'!$B$19:$K$29,MATCH('1. FTE Allocations'!$C231,'0. Control Panel'!$B$19:$B$29,0),MATCH(D$6,'0. Control Panel'!$B$19:$K$19,0)))</f>
        <v>-</v>
      </c>
      <c r="E231" s="283">
        <v>0</v>
      </c>
      <c r="F231" s="209">
        <f>IFERROR(IF(D231="",0,E231*VLOOKUP($D$222,'0. Control Panel'!$C$7:$E$16,3,FALSE)),0)</f>
        <v>0</v>
      </c>
      <c r="G231" s="283">
        <v>0</v>
      </c>
      <c r="H231" s="236">
        <f>IFERROR(IF(D231="",0,F231*VLOOKUP($D$5,'0. Control Panel'!$C$7:$F$16,4,FALSE)*G231),0)</f>
        <v>0</v>
      </c>
      <c r="I231" s="35">
        <f t="shared" si="29"/>
        <v>0</v>
      </c>
    </row>
    <row r="232" spans="1:9" x14ac:dyDescent="0.25">
      <c r="A232" s="35" t="str">
        <f t="shared" si="28"/>
        <v>Head Office-</v>
      </c>
      <c r="C232" s="237" t="str">
        <f>IF('0. Control Panel'!$C$28="","-",'0. Control Panel'!$B$28)</f>
        <v>-</v>
      </c>
      <c r="D232" s="238" t="str">
        <f>IF(C232="-","-",INDEX('0. Control Panel'!$B$19:$K$29,MATCH('1. FTE Allocations'!$C232,'0. Control Panel'!$B$19:$B$29,0),MATCH(D$6,'0. Control Panel'!$B$19:$K$19,0)))</f>
        <v>-</v>
      </c>
      <c r="E232" s="283">
        <v>0</v>
      </c>
      <c r="F232" s="209">
        <f>IFERROR(IF(D232="",0,E232*VLOOKUP($D$222,'0. Control Panel'!$C$7:$E$16,3,FALSE)),0)</f>
        <v>0</v>
      </c>
      <c r="G232" s="283">
        <v>0</v>
      </c>
      <c r="H232" s="236">
        <f>IFERROR(IF(D232="",0,F232*VLOOKUP($D$5,'0. Control Panel'!$C$7:$F$16,4,FALSE)*G232),0)</f>
        <v>0</v>
      </c>
      <c r="I232" s="35">
        <f t="shared" si="29"/>
        <v>0</v>
      </c>
    </row>
    <row r="233" spans="1:9" x14ac:dyDescent="0.25">
      <c r="A233" s="35" t="str">
        <f t="shared" si="28"/>
        <v>Head Office-</v>
      </c>
      <c r="C233" s="239" t="str">
        <f>IF('0. Control Panel'!$C$29="","-",'0. Control Panel'!$B$29)</f>
        <v>-</v>
      </c>
      <c r="D233" s="240" t="str">
        <f>IF(C233="-","-",INDEX('0. Control Panel'!$B$19:$K$29,MATCH('1. FTE Allocations'!$C233,'0. Control Panel'!$B$19:$B$29,0),MATCH(D$6,'0. Control Panel'!$B$19:$K$19,0)))</f>
        <v>-</v>
      </c>
      <c r="E233" s="284">
        <v>0</v>
      </c>
      <c r="F233" s="209">
        <f>IFERROR(IF(D233="",0,E233*VLOOKUP($D$222,'0. Control Panel'!$C$7:$E$16,3,FALSE)),0)</f>
        <v>0</v>
      </c>
      <c r="G233" s="284">
        <v>0</v>
      </c>
      <c r="H233" s="236">
        <f>IFERROR(IF(D233="",0,F233*VLOOKUP($D$5,'0. Control Panel'!$C$7:$F$16,4,FALSE)*G233),0)</f>
        <v>0</v>
      </c>
      <c r="I233" s="35">
        <f t="shared" si="29"/>
        <v>0</v>
      </c>
    </row>
    <row r="234" spans="1:9" x14ac:dyDescent="0.25">
      <c r="D234" s="241" t="s">
        <v>32</v>
      </c>
      <c r="E234" s="242">
        <f>SUM(E224:E233)</f>
        <v>0.3</v>
      </c>
      <c r="F234" s="243">
        <f>SUM(F224:F233)</f>
        <v>12.15</v>
      </c>
      <c r="G234" s="242"/>
      <c r="H234" s="244">
        <f>SUM(H224:H233)</f>
        <v>334125</v>
      </c>
    </row>
    <row r="235" spans="1:9" x14ac:dyDescent="0.25">
      <c r="D235" s="233" t="str">
        <f>'0. Control Panel'!$C$31</f>
        <v>Product Process</v>
      </c>
    </row>
    <row r="236" spans="1:9" x14ac:dyDescent="0.25">
      <c r="A236" s="35" t="str">
        <f>$D$222&amp;C236</f>
        <v>Head OfficeP1</v>
      </c>
      <c r="C236" s="234" t="str">
        <f>IF('0. Control Panel'!$C$32="","-",'0. Control Panel'!$B$32)</f>
        <v>P1</v>
      </c>
      <c r="D236" s="240" t="str">
        <f>IF(C236="-","-",INDEX('0. Control Panel'!$B$31:$K$41,MATCH('1. FTE Allocations'!$C236,'0. Control Panel'!$B$31:$B$41,0),MATCH(D$18,'0. Control Panel'!$B$31:$K$31,0)))</f>
        <v>Reduced Data Management Costs</v>
      </c>
      <c r="E236" s="282">
        <v>0.15</v>
      </c>
      <c r="F236" s="209">
        <f>IFERROR(IF(D236="",0,E236*VLOOKUP($D$222,'0. Control Panel'!$C$7:$E$16,3,FALSE)),0)</f>
        <v>6.0750000000000002</v>
      </c>
      <c r="G236" s="282">
        <v>0.5</v>
      </c>
      <c r="H236" s="236">
        <f>IFERROR(IF(D236="",0,F236*VLOOKUP($D$5,'0. Control Panel'!$C$7:$F$16,4,FALSE)*G236),0)</f>
        <v>167062.5</v>
      </c>
      <c r="I236" s="35">
        <f>IF(OR(AND(E236&lt;&gt;0,G236=0),AND(E236=0,G236&lt;&gt;0))=TRUE,1,0)</f>
        <v>0</v>
      </c>
    </row>
    <row r="237" spans="1:9" x14ac:dyDescent="0.25">
      <c r="A237" s="35" t="str">
        <f t="shared" ref="A237:A245" si="30">$D$222&amp;C237</f>
        <v>Head OfficeP2</v>
      </c>
      <c r="C237" s="237" t="str">
        <f>IF('0. Control Panel'!$C$33="","-",'0. Control Panel'!$B$33)</f>
        <v>P2</v>
      </c>
      <c r="D237" s="240" t="str">
        <f>IF(C237="-","-",INDEX('0. Control Panel'!$B$31:$K$41,MATCH('1. FTE Allocations'!$C237,'0. Control Panel'!$B$31:$B$41,0),MATCH(D$18,'0. Control Panel'!$B$31:$K$31,0)))</f>
        <v>Reduced Report Generation Cost</v>
      </c>
      <c r="E237" s="283">
        <v>0.4</v>
      </c>
      <c r="F237" s="209">
        <f>IFERROR(IF(D237="",0,E237*VLOOKUP($D$222,'0. Control Panel'!$C$7:$E$16,3,FALSE)),0)</f>
        <v>16.2</v>
      </c>
      <c r="G237" s="283">
        <v>1</v>
      </c>
      <c r="H237" s="236">
        <f>IFERROR(IF(D237="",0,F237*VLOOKUP($D$5,'0. Control Panel'!$C$7:$F$16,4,FALSE)*G237),0)</f>
        <v>891000</v>
      </c>
      <c r="I237" s="35">
        <f t="shared" ref="I237:I245" si="31">IF(OR(AND(E237&lt;&gt;0,G237=0),AND(E237=0,G237&lt;&gt;0))=TRUE,1,0)</f>
        <v>0</v>
      </c>
    </row>
    <row r="238" spans="1:9" x14ac:dyDescent="0.25">
      <c r="A238" s="35" t="str">
        <f t="shared" si="30"/>
        <v>Head OfficeP3</v>
      </c>
      <c r="C238" s="237" t="str">
        <f>IF('0. Control Panel'!$C$34="","-",'0. Control Panel'!$B$34)</f>
        <v>P3</v>
      </c>
      <c r="D238" s="240" t="str">
        <f>IF(C238="-","-",INDEX('0. Control Panel'!$B$31:$K$41,MATCH('1. FTE Allocations'!$C238,'0. Control Panel'!$B$31:$B$41,0),MATCH(D$18,'0. Control Panel'!$B$31:$K$31,0)))</f>
        <v>Reduced Integration Costs</v>
      </c>
      <c r="E238" s="283">
        <v>0</v>
      </c>
      <c r="F238" s="209">
        <f>IFERROR(IF(D238="",0,E238*VLOOKUP($D$222,'0. Control Panel'!$C$7:$E$16,3,FALSE)),0)</f>
        <v>0</v>
      </c>
      <c r="G238" s="283">
        <v>0</v>
      </c>
      <c r="H238" s="236">
        <f>IFERROR(IF(D238="",0,F238*VLOOKUP($D$5,'0. Control Panel'!$C$7:$F$16,4,FALSE)*G238),0)</f>
        <v>0</v>
      </c>
      <c r="I238" s="35">
        <f t="shared" si="31"/>
        <v>0</v>
      </c>
    </row>
    <row r="239" spans="1:9" x14ac:dyDescent="0.25">
      <c r="A239" s="35" t="str">
        <f t="shared" si="30"/>
        <v>Head OfficeP4</v>
      </c>
      <c r="C239" s="237" t="str">
        <f>IF('0. Control Panel'!$C$35="","-",'0. Control Panel'!$B$35)</f>
        <v>P4</v>
      </c>
      <c r="D239" s="240" t="str">
        <f>IF(C239="-","-",INDEX('0. Control Panel'!$B$31:$K$41,MATCH('1. FTE Allocations'!$C239,'0. Control Panel'!$B$31:$B$41,0),MATCH(D$18,'0. Control Panel'!$B$31:$K$31,0)))</f>
        <v>Reduced Marketing Costs</v>
      </c>
      <c r="E239" s="283">
        <v>0</v>
      </c>
      <c r="F239" s="209">
        <f>IFERROR(IF(D239="",0,E239*VLOOKUP($D$222,'0. Control Panel'!$C$7:$E$16,3,FALSE)),0)</f>
        <v>0</v>
      </c>
      <c r="G239" s="283">
        <v>0</v>
      </c>
      <c r="H239" s="236">
        <f>IFERROR(IF(D239="",0,F239*VLOOKUP($D$5,'0. Control Panel'!$C$7:$F$16,4,FALSE)*G239),0)</f>
        <v>0</v>
      </c>
      <c r="I239" s="35">
        <f t="shared" si="31"/>
        <v>0</v>
      </c>
    </row>
    <row r="240" spans="1:9" x14ac:dyDescent="0.25">
      <c r="A240" s="35" t="str">
        <f t="shared" si="30"/>
        <v>Head OfficeP5</v>
      </c>
      <c r="C240" s="237" t="str">
        <f>IF('0. Control Panel'!$C$36="","-",'0. Control Panel'!$B$36)</f>
        <v>P5</v>
      </c>
      <c r="D240" s="240" t="str">
        <f>IF(C240="-","-",INDEX('0. Control Panel'!$B$31:$K$41,MATCH('1. FTE Allocations'!$C240,'0. Control Panel'!$B$31:$B$41,0),MATCH(D$18,'0. Control Panel'!$B$31:$K$31,0)))</f>
        <v>Reduced Time to Take New Product to Market</v>
      </c>
      <c r="E240" s="283">
        <v>0</v>
      </c>
      <c r="F240" s="209">
        <f>IFERROR(IF(D240="",0,E240*VLOOKUP($D$222,'0. Control Panel'!$C$7:$E$16,3,FALSE)),0)</f>
        <v>0</v>
      </c>
      <c r="G240" s="283">
        <v>0</v>
      </c>
      <c r="H240" s="236">
        <f>IFERROR(IF(D240="",0,F240*VLOOKUP($D$5,'0. Control Panel'!$C$7:$F$16,4,FALSE)*G240),0)</f>
        <v>0</v>
      </c>
      <c r="I240" s="35">
        <f t="shared" si="31"/>
        <v>0</v>
      </c>
    </row>
    <row r="241" spans="1:11" x14ac:dyDescent="0.25">
      <c r="A241" s="35" t="str">
        <f t="shared" si="30"/>
        <v>Head OfficeP6</v>
      </c>
      <c r="C241" s="237" t="str">
        <f>IF('0. Control Panel'!$C$37="","-",'0. Control Panel'!$B$37)</f>
        <v>P6</v>
      </c>
      <c r="D241" s="240" t="str">
        <f>IF(C241="-","-",INDEX('0. Control Panel'!$B$31:$K$41,MATCH('1. FTE Allocations'!$C241,'0. Control Panel'!$B$31:$B$41,0),MATCH(D$18,'0. Control Panel'!$B$31:$K$31,0)))</f>
        <v>Reduced Credit Risk Costs</v>
      </c>
      <c r="E241" s="283">
        <v>0</v>
      </c>
      <c r="F241" s="209">
        <f>IFERROR(IF(D241="",0,E241*VLOOKUP($D$222,'0. Control Panel'!$C$7:$E$16,3,FALSE)),0)</f>
        <v>0</v>
      </c>
      <c r="G241" s="283">
        <v>0</v>
      </c>
      <c r="H241" s="236">
        <f>IFERROR(IF(D241="",0,F241*VLOOKUP($D$5,'0. Control Panel'!$C$7:$F$16,4,FALSE)*G241),0)</f>
        <v>0</v>
      </c>
      <c r="I241" s="35">
        <f t="shared" si="31"/>
        <v>0</v>
      </c>
    </row>
    <row r="242" spans="1:11" x14ac:dyDescent="0.25">
      <c r="A242" s="35" t="str">
        <f t="shared" si="30"/>
        <v>Head OfficeP7</v>
      </c>
      <c r="C242" s="237" t="str">
        <f>IF('0. Control Panel'!$C$38="","-",'0. Control Panel'!$B$38)</f>
        <v>P7</v>
      </c>
      <c r="D242" s="240" t="str">
        <f>IF(C242="-","-",INDEX('0. Control Panel'!$B$31:$K$41,MATCH('1. FTE Allocations'!$C242,'0. Control Panel'!$B$31:$B$41,0),MATCH(D$18,'0. Control Panel'!$B$31:$K$31,0)))</f>
        <v>Reduced Non-Compliance Risk  Costs</v>
      </c>
      <c r="E242" s="283">
        <v>0.05</v>
      </c>
      <c r="F242" s="209">
        <f>IFERROR(IF(D242="",0,E242*VLOOKUP($D$222,'0. Control Panel'!$C$7:$E$16,3,FALSE)),0)</f>
        <v>2.0249999999999999</v>
      </c>
      <c r="G242" s="283">
        <v>1</v>
      </c>
      <c r="H242" s="236">
        <f>IFERROR(IF(D242="",0,F242*VLOOKUP($D$5,'0. Control Panel'!$C$7:$F$16,4,FALSE)*G242),0)</f>
        <v>111375</v>
      </c>
      <c r="I242" s="35">
        <f t="shared" si="31"/>
        <v>0</v>
      </c>
    </row>
    <row r="243" spans="1:11" x14ac:dyDescent="0.25">
      <c r="A243" s="35" t="str">
        <f t="shared" si="30"/>
        <v>Head Office-</v>
      </c>
      <c r="C243" s="237" t="str">
        <f>IF('0. Control Panel'!C238="","-",'0. Control Panel'!B242)</f>
        <v>-</v>
      </c>
      <c r="D243" s="240" t="str">
        <f>IF(C243="-","-",INDEX('0. Control Panel'!$B$31:$K$41,MATCH('1. FTE Allocations'!$C243,'0. Control Panel'!$B$31:$B$41,0),MATCH(D$18,'0. Control Panel'!$B$31:$K$31,0)))</f>
        <v>-</v>
      </c>
      <c r="E243" s="283">
        <v>0</v>
      </c>
      <c r="F243" s="209">
        <f>IFERROR(IF(D243="",0,E243*VLOOKUP($D$222,'0. Control Panel'!$C$7:$E$16,3,FALSE)),0)</f>
        <v>0</v>
      </c>
      <c r="G243" s="283">
        <v>0</v>
      </c>
      <c r="H243" s="236">
        <f>IFERROR(IF(D243="",0,F243*VLOOKUP($D$5,'0. Control Panel'!$C$7:$F$16,4,FALSE)*G243),0)</f>
        <v>0</v>
      </c>
      <c r="I243" s="35">
        <f t="shared" si="31"/>
        <v>0</v>
      </c>
    </row>
    <row r="244" spans="1:11" x14ac:dyDescent="0.25">
      <c r="A244" s="35" t="str">
        <f t="shared" si="30"/>
        <v>Head Office-</v>
      </c>
      <c r="C244" s="237" t="str">
        <f>IF('0. Control Panel'!C239="","-",'0. Control Panel'!B243)</f>
        <v>-</v>
      </c>
      <c r="D244" s="240" t="str">
        <f>IF(C244="-","-",INDEX('0. Control Panel'!$B$31:$K$41,MATCH('1. FTE Allocations'!$C244,'0. Control Panel'!$B$31:$B$41,0),MATCH(D$18,'0. Control Panel'!$B$31:$K$31,0)))</f>
        <v>-</v>
      </c>
      <c r="E244" s="283">
        <v>0</v>
      </c>
      <c r="F244" s="209">
        <f>IFERROR(IF(D244="",0,E244*VLOOKUP($D$222,'0. Control Panel'!$C$7:$E$16,3,FALSE)),0)</f>
        <v>0</v>
      </c>
      <c r="G244" s="283">
        <v>0</v>
      </c>
      <c r="H244" s="236">
        <f>IFERROR(IF(D244="",0,F244*VLOOKUP($D$5,'0. Control Panel'!$C$7:$F$16,4,FALSE)*G244),0)</f>
        <v>0</v>
      </c>
      <c r="I244" s="35">
        <f t="shared" si="31"/>
        <v>0</v>
      </c>
    </row>
    <row r="245" spans="1:11" x14ac:dyDescent="0.25">
      <c r="A245" s="35" t="str">
        <f t="shared" si="30"/>
        <v>Head Office-</v>
      </c>
      <c r="C245" s="239" t="str">
        <f>IF('0. Control Panel'!C240="","-",'0. Control Panel'!B244)</f>
        <v>-</v>
      </c>
      <c r="D245" s="240" t="str">
        <f>IF(C245="-","-",INDEX('0. Control Panel'!$B$31:$K$41,MATCH('1. FTE Allocations'!$C245,'0. Control Panel'!$B$31:$B$41,0),MATCH(D$18,'0. Control Panel'!$B$31:$K$31,0)))</f>
        <v>-</v>
      </c>
      <c r="E245" s="284">
        <v>0</v>
      </c>
      <c r="F245" s="209">
        <f>IFERROR(IF(D245="",0,E245*VLOOKUP($D$222,'0. Control Panel'!$C$7:$E$16,3,FALSE)),0)</f>
        <v>0</v>
      </c>
      <c r="G245" s="284">
        <v>0</v>
      </c>
      <c r="H245" s="236">
        <f>IFERROR(IF(D245="",0,F245*VLOOKUP($D$5,'0. Control Panel'!$C$7:$F$16,4,FALSE)*G245),0)</f>
        <v>0</v>
      </c>
      <c r="I245" s="35">
        <f t="shared" si="31"/>
        <v>0</v>
      </c>
    </row>
    <row r="246" spans="1:11" x14ac:dyDescent="0.25">
      <c r="D246" s="241" t="s">
        <v>32</v>
      </c>
      <c r="E246" s="242">
        <f>SUM(E236:E245)</f>
        <v>0.60000000000000009</v>
      </c>
      <c r="F246" s="243">
        <f>SUM(F236:F245)</f>
        <v>24.299999999999997</v>
      </c>
      <c r="G246" s="242"/>
      <c r="H246" s="244">
        <f>SUM(H236:H245)</f>
        <v>1169437.5</v>
      </c>
    </row>
    <row r="247" spans="1:11" ht="6" customHeight="1" x14ac:dyDescent="0.25"/>
    <row r="248" spans="1:11" x14ac:dyDescent="0.25">
      <c r="C248" s="35"/>
      <c r="D248" s="240" t="s">
        <v>40</v>
      </c>
      <c r="E248" s="245">
        <f>1-SUM(E246,E234)</f>
        <v>9.9999999999999867E-2</v>
      </c>
      <c r="F248" s="214">
        <f>IFERROR(IF(D248="",0,E248*VLOOKUP($D$5,'0. Control Panel'!$C$7:$E$16,3,FALSE)),0)</f>
        <v>14.84999999999998</v>
      </c>
      <c r="G248" s="180"/>
      <c r="H248" s="246"/>
    </row>
    <row r="249" spans="1:11" ht="6" customHeight="1" x14ac:dyDescent="0.25"/>
    <row r="250" spans="1:11" ht="16.5" thickBot="1" x14ac:dyDescent="0.3">
      <c r="D250" s="247" t="str">
        <f>+"Grand Total for "&amp;D222</f>
        <v>Grand Total for Head Office</v>
      </c>
      <c r="E250" s="248">
        <f>SUM(E234,E246,E248)</f>
        <v>1</v>
      </c>
      <c r="F250" s="249">
        <f>SUM(F234,F246,F248)</f>
        <v>51.299999999999976</v>
      </c>
      <c r="G250" s="250"/>
      <c r="H250" s="251">
        <f>SUM(H234,H246)</f>
        <v>1503562.5</v>
      </c>
    </row>
    <row r="251" spans="1:11" ht="16.5" thickTop="1" x14ac:dyDescent="0.25"/>
    <row r="252" spans="1:11" x14ac:dyDescent="0.25">
      <c r="D252" s="256" t="str">
        <f>IFERROR("Total FTE of "&amp;D253&amp;": "&amp;VLOOKUP('1. FTE Allocations'!$D253,'0. Control Panel'!$C$7:$E$11,3,FALSE),"")</f>
        <v/>
      </c>
    </row>
    <row r="253" spans="1:11" s="74" customFormat="1" ht="31.5" x14ac:dyDescent="0.25">
      <c r="C253" s="187">
        <f>C222+1</f>
        <v>9</v>
      </c>
      <c r="D253" s="203" t="str">
        <f>IF(INDEX('0. Control Panel'!$B$6:$C$16,MATCH('1. FTE Allocations'!$C253,'0. Control Panel'!$B$6:$B$16,0),2)=0,"-",INDEX('0. Control Panel'!$B$6:$C$16,MATCH('1. FTE Allocations'!$C253,'0. Control Panel'!$B$6:$B$16,0),2))</f>
        <v>-</v>
      </c>
      <c r="E253" s="72" t="str">
        <f>"(% ) of "&amp;D253&amp;" FTE working on:"</f>
        <v>(% ) of - FTE working on:</v>
      </c>
      <c r="F253" s="232" t="s">
        <v>33</v>
      </c>
      <c r="G253" s="72" t="s">
        <v>37</v>
      </c>
      <c r="H253" s="72" t="s">
        <v>38</v>
      </c>
      <c r="K253" s="278"/>
    </row>
    <row r="254" spans="1:11" x14ac:dyDescent="0.25">
      <c r="D254" s="233" t="str">
        <f>'0. Control Panel'!$C$19</f>
        <v>Customer Process</v>
      </c>
    </row>
    <row r="255" spans="1:11" x14ac:dyDescent="0.25">
      <c r="A255" s="35" t="str">
        <f>$D$253&amp;C255</f>
        <v>-C1</v>
      </c>
      <c r="C255" s="234" t="str">
        <f>IF('0. Control Panel'!$C$20="","",'0. Control Panel'!$B$20)</f>
        <v>C1</v>
      </c>
      <c r="D255" s="235" t="str">
        <f>IF(C255="-","-",INDEX('0. Control Panel'!$B$19:$K$29,MATCH('1. FTE Allocations'!$C255,'0. Control Panel'!$B$19:$B$29,0),MATCH(D$6,'0. Control Panel'!$B$19:$K$19,0)))</f>
        <v>Increased Customer Retention</v>
      </c>
      <c r="E255" s="282">
        <v>0</v>
      </c>
      <c r="F255" s="209">
        <f>IFERROR(IF(D255="",0,E255*VLOOKUP($D$253,'0. Control Panel'!$C$7:$E$16,3,FALSE)),0)</f>
        <v>0</v>
      </c>
      <c r="G255" s="282">
        <v>0</v>
      </c>
      <c r="H255" s="236">
        <f>IFERROR(IF(D255="",0,F255*VLOOKUP($D$5,'0. Control Panel'!$C$7:$F$16,4,FALSE)*G255),0)</f>
        <v>0</v>
      </c>
      <c r="I255" s="35">
        <f>IF(OR(AND(E255&lt;&gt;0,G255=0),AND(E255=0,G255&lt;&gt;0))=TRUE,1,0)</f>
        <v>0</v>
      </c>
    </row>
    <row r="256" spans="1:11" x14ac:dyDescent="0.25">
      <c r="A256" s="35" t="str">
        <f t="shared" ref="A256:A264" si="32">$D$253&amp;C256</f>
        <v>-C2</v>
      </c>
      <c r="C256" s="237" t="str">
        <f>IF('0. Control Panel'!$C$21="","-",'0. Control Panel'!$B$21)</f>
        <v>C2</v>
      </c>
      <c r="D256" s="238" t="str">
        <f>IF(C256="-","-",INDEX('0. Control Panel'!$B$19:$K$29,MATCH('1. FTE Allocations'!$C256,'0. Control Panel'!$B$19:$B$29,0),MATCH(D$6,'0. Control Panel'!$B$19:$K$19,0)))</f>
        <v>Reduced Sales Order Errors</v>
      </c>
      <c r="E256" s="283">
        <v>0</v>
      </c>
      <c r="F256" s="209">
        <f>IFERROR(IF(D256="",0,E256*VLOOKUP($D$253,'0. Control Panel'!$C$7:$E$16,3,FALSE)),0)</f>
        <v>0</v>
      </c>
      <c r="G256" s="283">
        <v>0</v>
      </c>
      <c r="H256" s="236">
        <f>IFERROR(IF(D256="",0,F256*VLOOKUP($D$5,'0. Control Panel'!$C$7:$F$16,4,FALSE)*G256),0)</f>
        <v>0</v>
      </c>
      <c r="I256" s="35">
        <f t="shared" ref="I256:I264" si="33">IF(OR(AND(E256&lt;&gt;0,G256=0),AND(E256=0,G256&lt;&gt;0))=TRUE,1,0)</f>
        <v>0</v>
      </c>
    </row>
    <row r="257" spans="1:9" x14ac:dyDescent="0.25">
      <c r="A257" s="35" t="str">
        <f t="shared" si="32"/>
        <v>-C3</v>
      </c>
      <c r="C257" s="237" t="str">
        <f>IF('0. Control Panel'!$C$22="","-",'0. Control Panel'!$B$22)</f>
        <v>C3</v>
      </c>
      <c r="D257" s="238" t="str">
        <f>IF(C257="-","-",INDEX('0. Control Panel'!$B$19:$K$29,MATCH('1. FTE Allocations'!$C257,'0. Control Panel'!$B$19:$B$29,0),MATCH(D$6,'0. Control Panel'!$B$19:$K$19,0)))</f>
        <v>Reduced Sales Cycle Time</v>
      </c>
      <c r="E257" s="283">
        <v>0</v>
      </c>
      <c r="F257" s="209">
        <f>IFERROR(IF(D257="",0,E257*VLOOKUP($D$253,'0. Control Panel'!$C$7:$E$16,3,FALSE)),0)</f>
        <v>0</v>
      </c>
      <c r="G257" s="283">
        <v>0</v>
      </c>
      <c r="H257" s="236">
        <f>IFERROR(IF(D257="",0,F257*VLOOKUP($D$5,'0. Control Panel'!$C$7:$F$16,4,FALSE)*G257),0)</f>
        <v>0</v>
      </c>
      <c r="I257" s="35">
        <f t="shared" si="33"/>
        <v>0</v>
      </c>
    </row>
    <row r="258" spans="1:9" x14ac:dyDescent="0.25">
      <c r="A258" s="35" t="str">
        <f t="shared" si="32"/>
        <v>-C4</v>
      </c>
      <c r="C258" s="237" t="str">
        <f>IF('0. Control Panel'!$C$23="","-",'0. Control Panel'!$B$23)</f>
        <v>C4</v>
      </c>
      <c r="D258" s="238" t="str">
        <f>IF(C258="-","-",INDEX('0. Control Panel'!$B$19:$K$29,MATCH('1. FTE Allocations'!$C258,'0. Control Panel'!$B$19:$B$29,0),MATCH(D$6,'0. Control Panel'!$B$19:$K$19,0)))</f>
        <v>Increased Cross-Sell / Up-Sell</v>
      </c>
      <c r="E258" s="283">
        <v>0</v>
      </c>
      <c r="F258" s="209">
        <f>IFERROR(IF(D258="",0,E258*VLOOKUP($D$253,'0. Control Panel'!$C$7:$E$16,3,FALSE)),0)</f>
        <v>0</v>
      </c>
      <c r="G258" s="283">
        <v>0</v>
      </c>
      <c r="H258" s="236">
        <f>IFERROR(IF(D258="",0,F258*VLOOKUP($D$5,'0. Control Panel'!$C$7:$F$16,4,FALSE)*G258),0)</f>
        <v>0</v>
      </c>
      <c r="I258" s="35">
        <f t="shared" si="33"/>
        <v>0</v>
      </c>
    </row>
    <row r="259" spans="1:9" x14ac:dyDescent="0.25">
      <c r="A259" s="35" t="str">
        <f t="shared" si="32"/>
        <v>-C5</v>
      </c>
      <c r="C259" s="237" t="str">
        <f>IF('0. Control Panel'!$C$24="","-",'0. Control Panel'!$B$24)</f>
        <v>C5</v>
      </c>
      <c r="D259" s="238" t="str">
        <f>IF(C259="-","-",INDEX('0. Control Panel'!$B$19:$K$29,MATCH('1. FTE Allocations'!$C259,'0. Control Panel'!$B$19:$B$29,0),MATCH(D$6,'0. Control Panel'!$B$19:$K$19,0)))</f>
        <v>Improved Marketing Response Rate</v>
      </c>
      <c r="E259" s="283">
        <v>0</v>
      </c>
      <c r="F259" s="209">
        <f>IFERROR(IF(D259="",0,E259*VLOOKUP($D$253,'0. Control Panel'!$C$7:$E$16,3,FALSE)),0)</f>
        <v>0</v>
      </c>
      <c r="G259" s="283">
        <v>0</v>
      </c>
      <c r="H259" s="236">
        <f>IFERROR(IF(D259="",0,F259*VLOOKUP($D$5,'0. Control Panel'!$C$7:$F$16,4,FALSE)*G259),0)</f>
        <v>0</v>
      </c>
      <c r="I259" s="35">
        <f t="shared" si="33"/>
        <v>0</v>
      </c>
    </row>
    <row r="260" spans="1:9" x14ac:dyDescent="0.25">
      <c r="A260" s="35" t="str">
        <f t="shared" si="32"/>
        <v>-C6</v>
      </c>
      <c r="C260" s="237" t="str">
        <f>IF('0. Control Panel'!$C$25="","-",'0. Control Panel'!$B$25)</f>
        <v>C6</v>
      </c>
      <c r="D260" s="238" t="str">
        <f>IF(C260="-","-",INDEX('0. Control Panel'!$B$19:$K$29,MATCH('1. FTE Allocations'!$C260,'0. Control Panel'!$B$19:$B$29,0),MATCH(D$6,'0. Control Panel'!$B$19:$K$19,0)))</f>
        <v>Call Center Efficiency</v>
      </c>
      <c r="E260" s="283">
        <v>0</v>
      </c>
      <c r="F260" s="209">
        <f>IFERROR(IF(D260="",0,E260*VLOOKUP($D$253,'0. Control Panel'!$C$7:$E$16,3,FALSE)),0)</f>
        <v>0</v>
      </c>
      <c r="G260" s="283">
        <v>0</v>
      </c>
      <c r="H260" s="236">
        <f>IFERROR(IF(D260="",0,F260*VLOOKUP($D$5,'0. Control Panel'!$C$7:$F$16,4,FALSE)*G260),0)</f>
        <v>0</v>
      </c>
      <c r="I260" s="35">
        <f t="shared" si="33"/>
        <v>0</v>
      </c>
    </row>
    <row r="261" spans="1:9" x14ac:dyDescent="0.25">
      <c r="A261" s="35" t="str">
        <f t="shared" si="32"/>
        <v>-C7</v>
      </c>
      <c r="C261" s="237" t="str">
        <f>IF('0. Control Panel'!$C$26="","-",'0. Control Panel'!$B$26)</f>
        <v>C7</v>
      </c>
      <c r="D261" s="238" t="str">
        <f>IF(C261="-","-",INDEX('0. Control Panel'!$B$19:$K$29,MATCH('1. FTE Allocations'!$C261,'0. Control Panel'!$B$19:$B$29,0),MATCH(D$6,'0. Control Panel'!$B$19:$K$19,0)))</f>
        <v>Economies of Scale (M&amp;A)</v>
      </c>
      <c r="E261" s="283">
        <v>0</v>
      </c>
      <c r="F261" s="209">
        <f>IFERROR(IF(D261="",0,E261*VLOOKUP($D$253,'0. Control Panel'!$C$7:$E$16,3,FALSE)),0)</f>
        <v>0</v>
      </c>
      <c r="G261" s="283">
        <v>0</v>
      </c>
      <c r="H261" s="236">
        <f>IFERROR(IF(D261="",0,F261*VLOOKUP($D$5,'0. Control Panel'!$C$7:$F$16,4,FALSE)*G261),0)</f>
        <v>0</v>
      </c>
      <c r="I261" s="35">
        <f t="shared" si="33"/>
        <v>0</v>
      </c>
    </row>
    <row r="262" spans="1:9" x14ac:dyDescent="0.25">
      <c r="A262" s="35" t="str">
        <f t="shared" si="32"/>
        <v>--</v>
      </c>
      <c r="C262" s="237" t="str">
        <f>IF('0. Control Panel'!$C$27="","-",'0. Control Panel'!$B$27)</f>
        <v>-</v>
      </c>
      <c r="D262" s="238" t="str">
        <f>IF(C262="-","-",INDEX('0. Control Panel'!$B$19:$K$29,MATCH('1. FTE Allocations'!$C262,'0. Control Panel'!$B$19:$B$29,0),MATCH(D$6,'0. Control Panel'!$B$19:$K$19,0)))</f>
        <v>-</v>
      </c>
      <c r="E262" s="283">
        <v>0</v>
      </c>
      <c r="F262" s="209">
        <f>IFERROR(IF(D262="",0,E262*VLOOKUP($D$253,'0. Control Panel'!$C$7:$E$16,3,FALSE)),0)</f>
        <v>0</v>
      </c>
      <c r="G262" s="283">
        <v>0</v>
      </c>
      <c r="H262" s="236">
        <f>IFERROR(IF(D262="",0,F262*VLOOKUP($D$5,'0. Control Panel'!$C$7:$F$16,4,FALSE)*G262),0)</f>
        <v>0</v>
      </c>
      <c r="I262" s="35">
        <f t="shared" si="33"/>
        <v>0</v>
      </c>
    </row>
    <row r="263" spans="1:9" x14ac:dyDescent="0.25">
      <c r="A263" s="35" t="str">
        <f t="shared" si="32"/>
        <v>--</v>
      </c>
      <c r="C263" s="237" t="str">
        <f>IF('0. Control Panel'!$C$28="","-",'0. Control Panel'!$B$28)</f>
        <v>-</v>
      </c>
      <c r="D263" s="238" t="str">
        <f>IF(C263="-","-",INDEX('0. Control Panel'!$B$19:$K$29,MATCH('1. FTE Allocations'!$C263,'0. Control Panel'!$B$19:$B$29,0),MATCH(D$6,'0. Control Panel'!$B$19:$K$19,0)))</f>
        <v>-</v>
      </c>
      <c r="E263" s="283">
        <v>0</v>
      </c>
      <c r="F263" s="209">
        <f>IFERROR(IF(D263="",0,E263*VLOOKUP($D$253,'0. Control Panel'!$C$7:$E$16,3,FALSE)),0)</f>
        <v>0</v>
      </c>
      <c r="G263" s="283">
        <v>0</v>
      </c>
      <c r="H263" s="236">
        <f>IFERROR(IF(D263="",0,F263*VLOOKUP($D$5,'0. Control Panel'!$C$7:$F$16,4,FALSE)*G263),0)</f>
        <v>0</v>
      </c>
      <c r="I263" s="35">
        <f t="shared" si="33"/>
        <v>0</v>
      </c>
    </row>
    <row r="264" spans="1:9" x14ac:dyDescent="0.25">
      <c r="A264" s="35" t="str">
        <f t="shared" si="32"/>
        <v>--</v>
      </c>
      <c r="C264" s="239" t="str">
        <f>IF('0. Control Panel'!$C$29="","-",'0. Control Panel'!$B$29)</f>
        <v>-</v>
      </c>
      <c r="D264" s="240" t="str">
        <f>IF(C264="-","-",INDEX('0. Control Panel'!$B$19:$K$29,MATCH('1. FTE Allocations'!$C264,'0. Control Panel'!$B$19:$B$29,0),MATCH(D$6,'0. Control Panel'!$B$19:$K$19,0)))</f>
        <v>-</v>
      </c>
      <c r="E264" s="284">
        <v>0</v>
      </c>
      <c r="F264" s="209">
        <f>IFERROR(IF(D264="",0,E264*VLOOKUP($D$253,'0. Control Panel'!$C$7:$E$16,3,FALSE)),0)</f>
        <v>0</v>
      </c>
      <c r="G264" s="284">
        <v>0</v>
      </c>
      <c r="H264" s="236">
        <f>IFERROR(IF(D264="",0,F264*VLOOKUP($D$5,'0. Control Panel'!$C$7:$F$16,4,FALSE)*G264),0)</f>
        <v>0</v>
      </c>
      <c r="I264" s="35">
        <f t="shared" si="33"/>
        <v>0</v>
      </c>
    </row>
    <row r="265" spans="1:9" x14ac:dyDescent="0.25">
      <c r="D265" s="241" t="s">
        <v>32</v>
      </c>
      <c r="E265" s="242">
        <f>SUM(E255:E264)</f>
        <v>0</v>
      </c>
      <c r="F265" s="243">
        <f>SUM(F255:F264)</f>
        <v>0</v>
      </c>
      <c r="G265" s="242"/>
      <c r="H265" s="244">
        <f>SUM(H255:H264)</f>
        <v>0</v>
      </c>
    </row>
    <row r="266" spans="1:9" x14ac:dyDescent="0.25">
      <c r="D266" s="233" t="str">
        <f>'0. Control Panel'!$C$31</f>
        <v>Product Process</v>
      </c>
    </row>
    <row r="267" spans="1:9" x14ac:dyDescent="0.25">
      <c r="A267" s="35" t="str">
        <f>$D$253&amp;C267</f>
        <v>-P1</v>
      </c>
      <c r="C267" s="234" t="str">
        <f>IF('0. Control Panel'!$C$32="","-",'0. Control Panel'!$B$32)</f>
        <v>P1</v>
      </c>
      <c r="D267" s="240" t="str">
        <f>IF(C267="-","-",INDEX('0. Control Panel'!$B$31:$K$41,MATCH('1. FTE Allocations'!$C267,'0. Control Panel'!$B$31:$B$41,0),MATCH(D$18,'0. Control Panel'!$B$31:$K$31,0)))</f>
        <v>Reduced Data Management Costs</v>
      </c>
      <c r="E267" s="282">
        <v>0</v>
      </c>
      <c r="F267" s="209">
        <f>IFERROR(IF(D267="",0,E267*VLOOKUP($D$253,'0. Control Panel'!$C$7:$E$16,3,FALSE)),0)</f>
        <v>0</v>
      </c>
      <c r="G267" s="282">
        <v>0</v>
      </c>
      <c r="H267" s="236">
        <f>IFERROR(IF(D267="",0,F267*VLOOKUP($D$5,'0. Control Panel'!$C$7:$F$16,4,FALSE)*G267),0)</f>
        <v>0</v>
      </c>
      <c r="I267" s="35">
        <f>IF(OR(AND(E267&lt;&gt;0,G267=0),AND(E267=0,G267&lt;&gt;0))=TRUE,1,0)</f>
        <v>0</v>
      </c>
    </row>
    <row r="268" spans="1:9" x14ac:dyDescent="0.25">
      <c r="A268" s="35" t="str">
        <f t="shared" ref="A268:A276" si="34">$D$253&amp;C268</f>
        <v>-P2</v>
      </c>
      <c r="C268" s="237" t="str">
        <f>IF('0. Control Panel'!$C$33="","-",'0. Control Panel'!$B$33)</f>
        <v>P2</v>
      </c>
      <c r="D268" s="240" t="str">
        <f>IF(C268="-","-",INDEX('0. Control Panel'!$B$31:$K$41,MATCH('1. FTE Allocations'!$C268,'0. Control Panel'!$B$31:$B$41,0),MATCH(D$18,'0. Control Panel'!$B$31:$K$31,0)))</f>
        <v>Reduced Report Generation Cost</v>
      </c>
      <c r="E268" s="283">
        <v>0</v>
      </c>
      <c r="F268" s="209">
        <f>IFERROR(IF(D268="",0,E268*VLOOKUP($D$253,'0. Control Panel'!$C$7:$E$16,3,FALSE)),0)</f>
        <v>0</v>
      </c>
      <c r="G268" s="283">
        <v>0</v>
      </c>
      <c r="H268" s="236">
        <f>IFERROR(IF(D268="",0,F268*VLOOKUP($D$5,'0. Control Panel'!$C$7:$F$16,4,FALSE)*G268),0)</f>
        <v>0</v>
      </c>
      <c r="I268" s="35">
        <f t="shared" ref="I268:I276" si="35">IF(OR(AND(E268&lt;&gt;0,G268=0),AND(E268=0,G268&lt;&gt;0))=TRUE,1,0)</f>
        <v>0</v>
      </c>
    </row>
    <row r="269" spans="1:9" x14ac:dyDescent="0.25">
      <c r="A269" s="35" t="str">
        <f t="shared" si="34"/>
        <v>-P3</v>
      </c>
      <c r="C269" s="237" t="str">
        <f>IF('0. Control Panel'!$C$34="","-",'0. Control Panel'!$B$34)</f>
        <v>P3</v>
      </c>
      <c r="D269" s="240" t="str">
        <f>IF(C269="-","-",INDEX('0. Control Panel'!$B$31:$K$41,MATCH('1. FTE Allocations'!$C269,'0. Control Panel'!$B$31:$B$41,0),MATCH(D$18,'0. Control Panel'!$B$31:$K$31,0)))</f>
        <v>Reduced Integration Costs</v>
      </c>
      <c r="E269" s="283">
        <v>0</v>
      </c>
      <c r="F269" s="209">
        <f>IFERROR(IF(D269="",0,E269*VLOOKUP($D$253,'0. Control Panel'!$C$7:$E$16,3,FALSE)),0)</f>
        <v>0</v>
      </c>
      <c r="G269" s="283">
        <v>0</v>
      </c>
      <c r="H269" s="236">
        <f>IFERROR(IF(D269="",0,F269*VLOOKUP($D$5,'0. Control Panel'!$C$7:$F$16,4,FALSE)*G269),0)</f>
        <v>0</v>
      </c>
      <c r="I269" s="35">
        <f t="shared" si="35"/>
        <v>0</v>
      </c>
    </row>
    <row r="270" spans="1:9" x14ac:dyDescent="0.25">
      <c r="A270" s="35" t="str">
        <f t="shared" si="34"/>
        <v>-P4</v>
      </c>
      <c r="C270" s="237" t="str">
        <f>IF('0. Control Panel'!$C$35="","-",'0. Control Panel'!$B$35)</f>
        <v>P4</v>
      </c>
      <c r="D270" s="240" t="str">
        <f>IF(C270="-","-",INDEX('0. Control Panel'!$B$31:$K$41,MATCH('1. FTE Allocations'!$C270,'0. Control Panel'!$B$31:$B$41,0),MATCH(D$18,'0. Control Panel'!$B$31:$K$31,0)))</f>
        <v>Reduced Marketing Costs</v>
      </c>
      <c r="E270" s="283">
        <v>0</v>
      </c>
      <c r="F270" s="209">
        <f>IFERROR(IF(D270="",0,E270*VLOOKUP($D$253,'0. Control Panel'!$C$7:$E$16,3,FALSE)),0)</f>
        <v>0</v>
      </c>
      <c r="G270" s="283">
        <v>0</v>
      </c>
      <c r="H270" s="236">
        <f>IFERROR(IF(D270="",0,F270*VLOOKUP($D$5,'0. Control Panel'!$C$7:$F$16,4,FALSE)*G270),0)</f>
        <v>0</v>
      </c>
      <c r="I270" s="35">
        <f t="shared" si="35"/>
        <v>0</v>
      </c>
    </row>
    <row r="271" spans="1:9" x14ac:dyDescent="0.25">
      <c r="A271" s="35" t="str">
        <f t="shared" si="34"/>
        <v>-P5</v>
      </c>
      <c r="C271" s="237" t="str">
        <f>IF('0. Control Panel'!$C$36="","-",'0. Control Panel'!$B$36)</f>
        <v>P5</v>
      </c>
      <c r="D271" s="240" t="str">
        <f>IF(C271="-","-",INDEX('0. Control Panel'!$B$31:$K$41,MATCH('1. FTE Allocations'!$C271,'0. Control Panel'!$B$31:$B$41,0),MATCH(D$18,'0. Control Panel'!$B$31:$K$31,0)))</f>
        <v>Reduced Time to Take New Product to Market</v>
      </c>
      <c r="E271" s="283">
        <v>0</v>
      </c>
      <c r="F271" s="209">
        <f>IFERROR(IF(D271="",0,E271*VLOOKUP($D$253,'0. Control Panel'!$C$7:$E$16,3,FALSE)),0)</f>
        <v>0</v>
      </c>
      <c r="G271" s="283">
        <v>0</v>
      </c>
      <c r="H271" s="236">
        <f>IFERROR(IF(D271="",0,F271*VLOOKUP($D$5,'0. Control Panel'!$C$7:$F$16,4,FALSE)*G271),0)</f>
        <v>0</v>
      </c>
      <c r="I271" s="35">
        <f t="shared" si="35"/>
        <v>0</v>
      </c>
    </row>
    <row r="272" spans="1:9" x14ac:dyDescent="0.25">
      <c r="A272" s="35" t="str">
        <f t="shared" si="34"/>
        <v>-P6</v>
      </c>
      <c r="C272" s="237" t="str">
        <f>IF('0. Control Panel'!$C$37="","-",'0. Control Panel'!$B$37)</f>
        <v>P6</v>
      </c>
      <c r="D272" s="240" t="str">
        <f>IF(C272="-","-",INDEX('0. Control Panel'!$B$31:$K$41,MATCH('1. FTE Allocations'!$C272,'0. Control Panel'!$B$31:$B$41,0),MATCH(D$18,'0. Control Panel'!$B$31:$K$31,0)))</f>
        <v>Reduced Credit Risk Costs</v>
      </c>
      <c r="E272" s="283">
        <v>0</v>
      </c>
      <c r="F272" s="209">
        <f>IFERROR(IF(D272="",0,E272*VLOOKUP($D$253,'0. Control Panel'!$C$7:$E$16,3,FALSE)),0)</f>
        <v>0</v>
      </c>
      <c r="G272" s="283">
        <v>0</v>
      </c>
      <c r="H272" s="236">
        <f>IFERROR(IF(D272="",0,F272*VLOOKUP($D$5,'0. Control Panel'!$C$7:$F$16,4,FALSE)*G272),0)</f>
        <v>0</v>
      </c>
      <c r="I272" s="35">
        <f t="shared" si="35"/>
        <v>0</v>
      </c>
    </row>
    <row r="273" spans="1:11" x14ac:dyDescent="0.25">
      <c r="A273" s="35" t="str">
        <f t="shared" si="34"/>
        <v>-P7</v>
      </c>
      <c r="C273" s="237" t="str">
        <f>IF('0. Control Panel'!$C$38="","-",'0. Control Panel'!$B$38)</f>
        <v>P7</v>
      </c>
      <c r="D273" s="240" t="str">
        <f>IF(C273="-","-",INDEX('0. Control Panel'!$B$31:$K$41,MATCH('1. FTE Allocations'!$C273,'0. Control Panel'!$B$31:$B$41,0),MATCH(D$18,'0. Control Panel'!$B$31:$K$31,0)))</f>
        <v>Reduced Non-Compliance Risk  Costs</v>
      </c>
      <c r="E273" s="283">
        <v>0</v>
      </c>
      <c r="F273" s="209">
        <f>IFERROR(IF(D273="",0,E273*VLOOKUP($D$253,'0. Control Panel'!$C$7:$E$16,3,FALSE)),0)</f>
        <v>0</v>
      </c>
      <c r="G273" s="283">
        <v>0</v>
      </c>
      <c r="H273" s="236">
        <f>IFERROR(IF(D273="",0,F273*VLOOKUP($D$5,'0. Control Panel'!$C$7:$F$16,4,FALSE)*G273),0)</f>
        <v>0</v>
      </c>
      <c r="I273" s="35">
        <f t="shared" si="35"/>
        <v>0</v>
      </c>
    </row>
    <row r="274" spans="1:11" x14ac:dyDescent="0.25">
      <c r="A274" s="35" t="str">
        <f t="shared" si="34"/>
        <v>--</v>
      </c>
      <c r="C274" s="237" t="str">
        <f>IF('0. Control Panel'!C267="","-",'0. Control Panel'!B271)</f>
        <v>-</v>
      </c>
      <c r="D274" s="240" t="str">
        <f>IF(C274="-","-",INDEX('0. Control Panel'!$B$31:$K$41,MATCH('1. FTE Allocations'!$C274,'0. Control Panel'!$B$31:$B$41,0),MATCH(D$18,'0. Control Panel'!$B$31:$K$31,0)))</f>
        <v>-</v>
      </c>
      <c r="E274" s="283">
        <v>0</v>
      </c>
      <c r="F274" s="209">
        <f>IFERROR(IF(D274="",0,E274*VLOOKUP($D$253,'0. Control Panel'!$C$7:$E$16,3,FALSE)),0)</f>
        <v>0</v>
      </c>
      <c r="G274" s="283">
        <v>0</v>
      </c>
      <c r="H274" s="236">
        <f>IFERROR(IF(D274="",0,F274*VLOOKUP($D$5,'0. Control Panel'!$C$7:$F$16,4,FALSE)*G274),0)</f>
        <v>0</v>
      </c>
      <c r="I274" s="35">
        <f t="shared" si="35"/>
        <v>0</v>
      </c>
    </row>
    <row r="275" spans="1:11" x14ac:dyDescent="0.25">
      <c r="A275" s="35" t="str">
        <f t="shared" si="34"/>
        <v>--</v>
      </c>
      <c r="C275" s="237" t="str">
        <f>IF('0. Control Panel'!C268="","-",'0. Control Panel'!B272)</f>
        <v>-</v>
      </c>
      <c r="D275" s="240" t="str">
        <f>IF(C275="-","-",INDEX('0. Control Panel'!$B$31:$K$41,MATCH('1. FTE Allocations'!$C275,'0. Control Panel'!$B$31:$B$41,0),MATCH(D$18,'0. Control Panel'!$B$31:$K$31,0)))</f>
        <v>-</v>
      </c>
      <c r="E275" s="283">
        <v>0</v>
      </c>
      <c r="F275" s="209">
        <f>IFERROR(IF(D275="",0,E275*VLOOKUP($D$253,'0. Control Panel'!$C$7:$E$16,3,FALSE)),0)</f>
        <v>0</v>
      </c>
      <c r="G275" s="283">
        <v>0</v>
      </c>
      <c r="H275" s="236">
        <f>IFERROR(IF(D275="",0,F275*VLOOKUP($D$5,'0. Control Panel'!$C$7:$F$16,4,FALSE)*G275),0)</f>
        <v>0</v>
      </c>
      <c r="I275" s="35">
        <f t="shared" si="35"/>
        <v>0</v>
      </c>
    </row>
    <row r="276" spans="1:11" x14ac:dyDescent="0.25">
      <c r="A276" s="35" t="str">
        <f t="shared" si="34"/>
        <v>--</v>
      </c>
      <c r="C276" s="239" t="str">
        <f>IF('0. Control Panel'!C269="","-",'0. Control Panel'!B273)</f>
        <v>-</v>
      </c>
      <c r="D276" s="240" t="str">
        <f>IF(C276="-","-",INDEX('0. Control Panel'!$B$31:$K$41,MATCH('1. FTE Allocations'!$C276,'0. Control Panel'!$B$31:$B$41,0),MATCH(D$18,'0. Control Panel'!$B$31:$K$31,0)))</f>
        <v>-</v>
      </c>
      <c r="E276" s="284">
        <v>0</v>
      </c>
      <c r="F276" s="209">
        <f>IFERROR(IF(D276="",0,E276*VLOOKUP($D$253,'0. Control Panel'!$C$7:$E$16,3,FALSE)),0)</f>
        <v>0</v>
      </c>
      <c r="G276" s="284">
        <v>0</v>
      </c>
      <c r="H276" s="236">
        <f>IFERROR(IF(D276="",0,F276*VLOOKUP($D$5,'0. Control Panel'!$C$7:$F$16,4,FALSE)*G276),0)</f>
        <v>0</v>
      </c>
      <c r="I276" s="35">
        <f t="shared" si="35"/>
        <v>0</v>
      </c>
    </row>
    <row r="277" spans="1:11" x14ac:dyDescent="0.25">
      <c r="D277" s="241" t="s">
        <v>32</v>
      </c>
      <c r="E277" s="242">
        <f>SUM(E267:E276)</f>
        <v>0</v>
      </c>
      <c r="F277" s="243">
        <f>SUM(F267:F276)</f>
        <v>0</v>
      </c>
      <c r="G277" s="242"/>
      <c r="H277" s="244">
        <f>SUM(H267:H276)</f>
        <v>0</v>
      </c>
    </row>
    <row r="278" spans="1:11" ht="6" customHeight="1" x14ac:dyDescent="0.25"/>
    <row r="279" spans="1:11" x14ac:dyDescent="0.25">
      <c r="C279" s="35"/>
      <c r="D279" s="240" t="s">
        <v>40</v>
      </c>
      <c r="E279" s="245">
        <f>1-SUM(E277,E265)</f>
        <v>1</v>
      </c>
      <c r="F279" s="214">
        <f>IFERROR(IF(D279="",0,E279*VLOOKUP($D$5,'0. Control Panel'!$C$7:$E$16,3,FALSE)),0)</f>
        <v>148.5</v>
      </c>
      <c r="G279" s="180"/>
      <c r="H279" s="246"/>
    </row>
    <row r="280" spans="1:11" ht="6" customHeight="1" x14ac:dyDescent="0.25"/>
    <row r="281" spans="1:11" ht="16.5" thickBot="1" x14ac:dyDescent="0.3">
      <c r="D281" s="247" t="str">
        <f>+"Grand Total for "&amp;D253</f>
        <v>Grand Total for -</v>
      </c>
      <c r="E281" s="248">
        <f>SUM(E265,E277,E279)</f>
        <v>1</v>
      </c>
      <c r="F281" s="249">
        <f>SUM(F265,F277,F279)</f>
        <v>148.5</v>
      </c>
      <c r="G281" s="250"/>
      <c r="H281" s="251">
        <f>SUM(H265,H277)</f>
        <v>0</v>
      </c>
    </row>
    <row r="282" spans="1:11" ht="16.5" thickTop="1" x14ac:dyDescent="0.25"/>
    <row r="283" spans="1:11" x14ac:dyDescent="0.25">
      <c r="D283" s="256" t="str">
        <f>IFERROR("Total FTE of "&amp;D284&amp;": "&amp;VLOOKUP('1. FTE Allocations'!$D284,'0. Control Panel'!$C$7:$E$11,3,FALSE),"")</f>
        <v/>
      </c>
    </row>
    <row r="284" spans="1:11" s="74" customFormat="1" ht="31.5" x14ac:dyDescent="0.25">
      <c r="C284" s="187">
        <f>C253+1</f>
        <v>10</v>
      </c>
      <c r="D284" s="203" t="str">
        <f>IF(INDEX('0. Control Panel'!$B$6:$C$16,MATCH('1. FTE Allocations'!$C284,'0. Control Panel'!$B$6:$B$16,0),2)=0,"-",INDEX('0. Control Panel'!$B$6:$C$16,MATCH('1. FTE Allocations'!$C284,'0. Control Panel'!$B$6:$B$16,0),2))</f>
        <v>-</v>
      </c>
      <c r="E284" s="72" t="str">
        <f>"(% ) of "&amp;D284&amp;" FTE working on:"</f>
        <v>(% ) of - FTE working on:</v>
      </c>
      <c r="F284" s="232" t="s">
        <v>33</v>
      </c>
      <c r="G284" s="72" t="s">
        <v>37</v>
      </c>
      <c r="H284" s="72" t="s">
        <v>38</v>
      </c>
      <c r="K284" s="278"/>
    </row>
    <row r="285" spans="1:11" x14ac:dyDescent="0.25">
      <c r="D285" s="233" t="str">
        <f>'0. Control Panel'!$C$19</f>
        <v>Customer Process</v>
      </c>
    </row>
    <row r="286" spans="1:11" x14ac:dyDescent="0.25">
      <c r="A286" s="35" t="str">
        <f>$D$284&amp;C286</f>
        <v>-C1</v>
      </c>
      <c r="C286" s="234" t="str">
        <f>IF('0. Control Panel'!$C$20="","",'0. Control Panel'!$B$20)</f>
        <v>C1</v>
      </c>
      <c r="D286" s="235" t="str">
        <f>IF(C286="-","-",INDEX('0. Control Panel'!$B$19:$K$29,MATCH('1. FTE Allocations'!$C286,'0. Control Panel'!$B$19:$B$29,0),MATCH(D$6,'0. Control Panel'!$B$19:$K$19,0)))</f>
        <v>Increased Customer Retention</v>
      </c>
      <c r="E286" s="282">
        <v>0</v>
      </c>
      <c r="F286" s="209">
        <f>IFERROR(IF(D286="",0,E286*VLOOKUP($D$284,'0. Control Panel'!$C$7:$E$16,3,FALSE)),0)</f>
        <v>0</v>
      </c>
      <c r="G286" s="282">
        <v>0</v>
      </c>
      <c r="H286" s="236">
        <f>IFERROR(IF(D286="",0,F286*VLOOKUP($D$5,'0. Control Panel'!$C$7:$F$16,4,FALSE)*G286),0)</f>
        <v>0</v>
      </c>
      <c r="I286" s="35">
        <f>IF(OR(AND(E286&lt;&gt;0,G286=0),AND(E286=0,G286&lt;&gt;0))=TRUE,1,0)</f>
        <v>0</v>
      </c>
    </row>
    <row r="287" spans="1:11" x14ac:dyDescent="0.25">
      <c r="A287" s="35" t="str">
        <f t="shared" ref="A287:A295" si="36">$D$284&amp;C287</f>
        <v>-C2</v>
      </c>
      <c r="C287" s="237" t="str">
        <f>IF('0. Control Panel'!$C$21="","-",'0. Control Panel'!$B$21)</f>
        <v>C2</v>
      </c>
      <c r="D287" s="238" t="str">
        <f>IF(C287="-","-",INDEX('0. Control Panel'!$B$19:$K$29,MATCH('1. FTE Allocations'!$C287,'0. Control Panel'!$B$19:$B$29,0),MATCH(D$6,'0. Control Panel'!$B$19:$K$19,0)))</f>
        <v>Reduced Sales Order Errors</v>
      </c>
      <c r="E287" s="283">
        <v>0</v>
      </c>
      <c r="F287" s="209">
        <f>IFERROR(IF(D287="",0,E287*VLOOKUP($D$284,'0. Control Panel'!$C$7:$E$16,3,FALSE)),0)</f>
        <v>0</v>
      </c>
      <c r="G287" s="283">
        <v>0</v>
      </c>
      <c r="H287" s="236">
        <f>IFERROR(IF(D287="",0,F287*VLOOKUP($D$5,'0. Control Panel'!$C$7:$F$16,4,FALSE)*G287),0)</f>
        <v>0</v>
      </c>
      <c r="I287" s="35">
        <f t="shared" ref="I287:I295" si="37">IF(OR(AND(E287&lt;&gt;0,G287=0),AND(E287=0,G287&lt;&gt;0))=TRUE,1,0)</f>
        <v>0</v>
      </c>
    </row>
    <row r="288" spans="1:11" x14ac:dyDescent="0.25">
      <c r="A288" s="35" t="str">
        <f t="shared" si="36"/>
        <v>-C3</v>
      </c>
      <c r="C288" s="237" t="str">
        <f>IF('0. Control Panel'!$C$22="","-",'0. Control Panel'!$B$22)</f>
        <v>C3</v>
      </c>
      <c r="D288" s="238" t="str">
        <f>IF(C288="-","-",INDEX('0. Control Panel'!$B$19:$K$29,MATCH('1. FTE Allocations'!$C288,'0. Control Panel'!$B$19:$B$29,0),MATCH(D$6,'0. Control Panel'!$B$19:$K$19,0)))</f>
        <v>Reduced Sales Cycle Time</v>
      </c>
      <c r="E288" s="283">
        <v>0</v>
      </c>
      <c r="F288" s="209">
        <f>IFERROR(IF(D288="",0,E288*VLOOKUP($D$284,'0. Control Panel'!$C$7:$E$16,3,FALSE)),0)</f>
        <v>0</v>
      </c>
      <c r="G288" s="283">
        <v>0</v>
      </c>
      <c r="H288" s="236">
        <f>IFERROR(IF(D288="",0,F288*VLOOKUP($D$5,'0. Control Panel'!$C$7:$F$16,4,FALSE)*G288),0)</f>
        <v>0</v>
      </c>
      <c r="I288" s="35">
        <f t="shared" si="37"/>
        <v>0</v>
      </c>
    </row>
    <row r="289" spans="1:9" x14ac:dyDescent="0.25">
      <c r="A289" s="35" t="str">
        <f t="shared" si="36"/>
        <v>-C4</v>
      </c>
      <c r="C289" s="237" t="str">
        <f>IF('0. Control Panel'!$C$23="","-",'0. Control Panel'!$B$23)</f>
        <v>C4</v>
      </c>
      <c r="D289" s="238" t="str">
        <f>IF(C289="-","-",INDEX('0. Control Panel'!$B$19:$K$29,MATCH('1. FTE Allocations'!$C289,'0. Control Panel'!$B$19:$B$29,0),MATCH(D$6,'0. Control Panel'!$B$19:$K$19,0)))</f>
        <v>Increased Cross-Sell / Up-Sell</v>
      </c>
      <c r="E289" s="283">
        <v>0</v>
      </c>
      <c r="F289" s="209">
        <f>IFERROR(IF(D289="",0,E289*VLOOKUP($D$284,'0. Control Panel'!$C$7:$E$16,3,FALSE)),0)</f>
        <v>0</v>
      </c>
      <c r="G289" s="283">
        <v>0</v>
      </c>
      <c r="H289" s="236">
        <f>IFERROR(IF(D289="",0,F289*VLOOKUP($D$5,'0. Control Panel'!$C$7:$F$16,4,FALSE)*G289),0)</f>
        <v>0</v>
      </c>
      <c r="I289" s="35">
        <f t="shared" si="37"/>
        <v>0</v>
      </c>
    </row>
    <row r="290" spans="1:9" x14ac:dyDescent="0.25">
      <c r="A290" s="35" t="str">
        <f t="shared" si="36"/>
        <v>-C5</v>
      </c>
      <c r="C290" s="237" t="str">
        <f>IF('0. Control Panel'!$C$24="","-",'0. Control Panel'!$B$24)</f>
        <v>C5</v>
      </c>
      <c r="D290" s="238" t="str">
        <f>IF(C290="-","-",INDEX('0. Control Panel'!$B$19:$K$29,MATCH('1. FTE Allocations'!$C290,'0. Control Panel'!$B$19:$B$29,0),MATCH(D$6,'0. Control Panel'!$B$19:$K$19,0)))</f>
        <v>Improved Marketing Response Rate</v>
      </c>
      <c r="E290" s="283">
        <v>0</v>
      </c>
      <c r="F290" s="209">
        <f>IFERROR(IF(D290="",0,E290*VLOOKUP($D$284,'0. Control Panel'!$C$7:$E$16,3,FALSE)),0)</f>
        <v>0</v>
      </c>
      <c r="G290" s="283">
        <v>0</v>
      </c>
      <c r="H290" s="236">
        <f>IFERROR(IF(D290="",0,F290*VLOOKUP($D$5,'0. Control Panel'!$C$7:$F$16,4,FALSE)*G290),0)</f>
        <v>0</v>
      </c>
      <c r="I290" s="35">
        <f t="shared" si="37"/>
        <v>0</v>
      </c>
    </row>
    <row r="291" spans="1:9" x14ac:dyDescent="0.25">
      <c r="A291" s="35" t="str">
        <f t="shared" si="36"/>
        <v>-C6</v>
      </c>
      <c r="C291" s="237" t="str">
        <f>IF('0. Control Panel'!$C$25="","-",'0. Control Panel'!$B$25)</f>
        <v>C6</v>
      </c>
      <c r="D291" s="238" t="str">
        <f>IF(C291="-","-",INDEX('0. Control Panel'!$B$19:$K$29,MATCH('1. FTE Allocations'!$C291,'0. Control Panel'!$B$19:$B$29,0),MATCH(D$6,'0. Control Panel'!$B$19:$K$19,0)))</f>
        <v>Call Center Efficiency</v>
      </c>
      <c r="E291" s="283">
        <v>0</v>
      </c>
      <c r="F291" s="209">
        <f>IFERROR(IF(D291="",0,E291*VLOOKUP($D$284,'0. Control Panel'!$C$7:$E$16,3,FALSE)),0)</f>
        <v>0</v>
      </c>
      <c r="G291" s="283">
        <v>0</v>
      </c>
      <c r="H291" s="236">
        <f>IFERROR(IF(D291="",0,F291*VLOOKUP($D$5,'0. Control Panel'!$C$7:$F$16,4,FALSE)*G291),0)</f>
        <v>0</v>
      </c>
      <c r="I291" s="35">
        <f t="shared" si="37"/>
        <v>0</v>
      </c>
    </row>
    <row r="292" spans="1:9" x14ac:dyDescent="0.25">
      <c r="A292" s="35" t="str">
        <f t="shared" si="36"/>
        <v>-C7</v>
      </c>
      <c r="C292" s="237" t="str">
        <f>IF('0. Control Panel'!$C$26="","-",'0. Control Panel'!$B$26)</f>
        <v>C7</v>
      </c>
      <c r="D292" s="238" t="str">
        <f>IF(C292="-","-",INDEX('0. Control Panel'!$B$19:$K$29,MATCH('1. FTE Allocations'!$C292,'0. Control Panel'!$B$19:$B$29,0),MATCH(D$6,'0. Control Panel'!$B$19:$K$19,0)))</f>
        <v>Economies of Scale (M&amp;A)</v>
      </c>
      <c r="E292" s="283">
        <v>0</v>
      </c>
      <c r="F292" s="209">
        <f>IFERROR(IF(D292="",0,E292*VLOOKUP($D$284,'0. Control Panel'!$C$7:$E$16,3,FALSE)),0)</f>
        <v>0</v>
      </c>
      <c r="G292" s="283">
        <v>0</v>
      </c>
      <c r="H292" s="236">
        <f>IFERROR(IF(D292="",0,F292*VLOOKUP($D$5,'0. Control Panel'!$C$7:$F$16,4,FALSE)*G292),0)</f>
        <v>0</v>
      </c>
      <c r="I292" s="35">
        <f t="shared" si="37"/>
        <v>0</v>
      </c>
    </row>
    <row r="293" spans="1:9" x14ac:dyDescent="0.25">
      <c r="A293" s="35" t="str">
        <f t="shared" si="36"/>
        <v>--</v>
      </c>
      <c r="C293" s="237" t="str">
        <f>IF('0. Control Panel'!$C$27="","-",'0. Control Panel'!$B$27)</f>
        <v>-</v>
      </c>
      <c r="D293" s="238" t="str">
        <f>IF(C293="-","-",INDEX('0. Control Panel'!$B$19:$K$29,MATCH('1. FTE Allocations'!$C293,'0. Control Panel'!$B$19:$B$29,0),MATCH(D$6,'0. Control Panel'!$B$19:$K$19,0)))</f>
        <v>-</v>
      </c>
      <c r="E293" s="283">
        <v>0</v>
      </c>
      <c r="F293" s="209">
        <f>IFERROR(IF(D293="",0,E293*VLOOKUP($D$284,'0. Control Panel'!$C$7:$E$16,3,FALSE)),0)</f>
        <v>0</v>
      </c>
      <c r="G293" s="283">
        <v>0</v>
      </c>
      <c r="H293" s="236">
        <f>IFERROR(IF(D293="",0,F293*VLOOKUP($D$5,'0. Control Panel'!$C$7:$F$16,4,FALSE)*G293),0)</f>
        <v>0</v>
      </c>
      <c r="I293" s="35">
        <f t="shared" si="37"/>
        <v>0</v>
      </c>
    </row>
    <row r="294" spans="1:9" x14ac:dyDescent="0.25">
      <c r="A294" s="35" t="str">
        <f t="shared" si="36"/>
        <v>--</v>
      </c>
      <c r="C294" s="237" t="str">
        <f>IF('0. Control Panel'!$C$28="","-",'0. Control Panel'!$B$28)</f>
        <v>-</v>
      </c>
      <c r="D294" s="238" t="str">
        <f>IF(C294="-","-",INDEX('0. Control Panel'!$B$19:$K$29,MATCH('1. FTE Allocations'!$C294,'0. Control Panel'!$B$19:$B$29,0),MATCH(D$6,'0. Control Panel'!$B$19:$K$19,0)))</f>
        <v>-</v>
      </c>
      <c r="E294" s="283">
        <v>0</v>
      </c>
      <c r="F294" s="209">
        <f>IFERROR(IF(D294="",0,E294*VLOOKUP($D$284,'0. Control Panel'!$C$7:$E$16,3,FALSE)),0)</f>
        <v>0</v>
      </c>
      <c r="G294" s="283">
        <v>0</v>
      </c>
      <c r="H294" s="236">
        <f>IFERROR(IF(D294="",0,F294*VLOOKUP($D$5,'0. Control Panel'!$C$7:$F$16,4,FALSE)*G294),0)</f>
        <v>0</v>
      </c>
      <c r="I294" s="35">
        <f t="shared" si="37"/>
        <v>0</v>
      </c>
    </row>
    <row r="295" spans="1:9" x14ac:dyDescent="0.25">
      <c r="A295" s="35" t="str">
        <f t="shared" si="36"/>
        <v>--</v>
      </c>
      <c r="C295" s="239" t="str">
        <f>IF('0. Control Panel'!$C$29="","-",'0. Control Panel'!$B$29)</f>
        <v>-</v>
      </c>
      <c r="D295" s="240" t="str">
        <f>IF(C295="-","-",INDEX('0. Control Panel'!$B$19:$K$29,MATCH('1. FTE Allocations'!$C295,'0. Control Panel'!$B$19:$B$29,0),MATCH(D$6,'0. Control Panel'!$B$19:$K$19,0)))</f>
        <v>-</v>
      </c>
      <c r="E295" s="284">
        <v>0</v>
      </c>
      <c r="F295" s="209">
        <f>IFERROR(IF(D295="",0,E295*VLOOKUP($D$284,'0. Control Panel'!$C$7:$E$16,3,FALSE)),0)</f>
        <v>0</v>
      </c>
      <c r="G295" s="284">
        <v>0</v>
      </c>
      <c r="H295" s="236">
        <f>IFERROR(IF(D295="",0,F295*VLOOKUP($D$5,'0. Control Panel'!$C$7:$F$16,4,FALSE)*G295),0)</f>
        <v>0</v>
      </c>
      <c r="I295" s="35">
        <f t="shared" si="37"/>
        <v>0</v>
      </c>
    </row>
    <row r="296" spans="1:9" x14ac:dyDescent="0.25">
      <c r="D296" s="241" t="s">
        <v>32</v>
      </c>
      <c r="E296" s="242">
        <f>SUM(E286:E295)</f>
        <v>0</v>
      </c>
      <c r="F296" s="243">
        <f>SUM(F286:F295)</f>
        <v>0</v>
      </c>
      <c r="G296" s="242"/>
      <c r="H296" s="244">
        <f>SUM(H286:H295)</f>
        <v>0</v>
      </c>
    </row>
    <row r="297" spans="1:9" x14ac:dyDescent="0.25">
      <c r="D297" s="233" t="str">
        <f>'0. Control Panel'!$C$31</f>
        <v>Product Process</v>
      </c>
    </row>
    <row r="298" spans="1:9" x14ac:dyDescent="0.25">
      <c r="A298" s="35" t="str">
        <f>$D$284&amp;C298</f>
        <v>-P1</v>
      </c>
      <c r="C298" s="234" t="str">
        <f>IF('0. Control Panel'!$C$32="","-",'0. Control Panel'!$B$32)</f>
        <v>P1</v>
      </c>
      <c r="D298" s="240" t="str">
        <f>IF(C298="-","-",INDEX('0. Control Panel'!$B$31:$K$41,MATCH('1. FTE Allocations'!$C298,'0. Control Panel'!$B$31:$B$41,0),MATCH(D$18,'0. Control Panel'!$B$31:$K$31,0)))</f>
        <v>Reduced Data Management Costs</v>
      </c>
      <c r="E298" s="282">
        <v>0</v>
      </c>
      <c r="F298" s="209">
        <f>IFERROR(IF(D298="",0,E298*VLOOKUP($D$284,'0. Control Panel'!$C$7:$E$16,3,FALSE)),0)</f>
        <v>0</v>
      </c>
      <c r="G298" s="282">
        <v>0</v>
      </c>
      <c r="H298" s="236">
        <f>IFERROR(IF(D298="",0,F298*VLOOKUP($D$5,'0. Control Panel'!$C$7:$F$16,4,FALSE)*G298),0)</f>
        <v>0</v>
      </c>
      <c r="I298" s="35">
        <f>IF(OR(AND(E298&lt;&gt;0,G298=0),AND(E298=0,G298&lt;&gt;0))=TRUE,1,0)</f>
        <v>0</v>
      </c>
    </row>
    <row r="299" spans="1:9" x14ac:dyDescent="0.25">
      <c r="A299" s="35" t="str">
        <f t="shared" ref="A299:A307" si="38">$D$284&amp;C299</f>
        <v>-P2</v>
      </c>
      <c r="C299" s="237" t="str">
        <f>IF('0. Control Panel'!$C$33="","-",'0. Control Panel'!$B$33)</f>
        <v>P2</v>
      </c>
      <c r="D299" s="240" t="str">
        <f>IF(C299="-","-",INDEX('0. Control Panel'!$B$31:$K$41,MATCH('1. FTE Allocations'!$C299,'0. Control Panel'!$B$31:$B$41,0),MATCH(D$18,'0. Control Panel'!$B$31:$K$31,0)))</f>
        <v>Reduced Report Generation Cost</v>
      </c>
      <c r="E299" s="283">
        <v>0</v>
      </c>
      <c r="F299" s="209">
        <f>IFERROR(IF(D299="",0,E299*VLOOKUP($D$284,'0. Control Panel'!$C$7:$E$16,3,FALSE)),0)</f>
        <v>0</v>
      </c>
      <c r="G299" s="283">
        <v>0</v>
      </c>
      <c r="H299" s="236">
        <f>IFERROR(IF(D299="",0,F299*VLOOKUP($D$5,'0. Control Panel'!$C$7:$F$16,4,FALSE)*G299),0)</f>
        <v>0</v>
      </c>
      <c r="I299" s="35">
        <f t="shared" ref="I299:I307" si="39">IF(OR(AND(E299&lt;&gt;0,G299=0),AND(E299=0,G299&lt;&gt;0))=TRUE,1,0)</f>
        <v>0</v>
      </c>
    </row>
    <row r="300" spans="1:9" x14ac:dyDescent="0.25">
      <c r="A300" s="35" t="str">
        <f t="shared" si="38"/>
        <v>-P3</v>
      </c>
      <c r="C300" s="237" t="str">
        <f>IF('0. Control Panel'!$C$34="","-",'0. Control Panel'!$B$34)</f>
        <v>P3</v>
      </c>
      <c r="D300" s="240" t="str">
        <f>IF(C300="-","-",INDEX('0. Control Panel'!$B$31:$K$41,MATCH('1. FTE Allocations'!$C300,'0. Control Panel'!$B$31:$B$41,0),MATCH(D$18,'0. Control Panel'!$B$31:$K$31,0)))</f>
        <v>Reduced Integration Costs</v>
      </c>
      <c r="E300" s="283">
        <v>0</v>
      </c>
      <c r="F300" s="209">
        <f>IFERROR(IF(D300="",0,E300*VLOOKUP($D$284,'0. Control Panel'!$C$7:$E$16,3,FALSE)),0)</f>
        <v>0</v>
      </c>
      <c r="G300" s="283">
        <v>0</v>
      </c>
      <c r="H300" s="236">
        <f>IFERROR(IF(D300="",0,F300*VLOOKUP($D$5,'0. Control Panel'!$C$7:$F$16,4,FALSE)*G300),0)</f>
        <v>0</v>
      </c>
      <c r="I300" s="35">
        <f t="shared" si="39"/>
        <v>0</v>
      </c>
    </row>
    <row r="301" spans="1:9" x14ac:dyDescent="0.25">
      <c r="A301" s="35" t="str">
        <f t="shared" si="38"/>
        <v>-P4</v>
      </c>
      <c r="C301" s="237" t="str">
        <f>IF('0. Control Panel'!$C$35="","-",'0. Control Panel'!$B$35)</f>
        <v>P4</v>
      </c>
      <c r="D301" s="240" t="str">
        <f>IF(C301="-","-",INDEX('0. Control Panel'!$B$31:$K$41,MATCH('1. FTE Allocations'!$C301,'0. Control Panel'!$B$31:$B$41,0),MATCH(D$18,'0. Control Panel'!$B$31:$K$31,0)))</f>
        <v>Reduced Marketing Costs</v>
      </c>
      <c r="E301" s="283">
        <v>0</v>
      </c>
      <c r="F301" s="209">
        <f>IFERROR(IF(D301="",0,E301*VLOOKUP($D$284,'0. Control Panel'!$C$7:$E$16,3,FALSE)),0)</f>
        <v>0</v>
      </c>
      <c r="G301" s="283">
        <v>0</v>
      </c>
      <c r="H301" s="236">
        <f>IFERROR(IF(D301="",0,F301*VLOOKUP($D$5,'0. Control Panel'!$C$7:$F$16,4,FALSE)*G301),0)</f>
        <v>0</v>
      </c>
      <c r="I301" s="35">
        <f t="shared" si="39"/>
        <v>0</v>
      </c>
    </row>
    <row r="302" spans="1:9" x14ac:dyDescent="0.25">
      <c r="A302" s="35" t="str">
        <f t="shared" si="38"/>
        <v>-P5</v>
      </c>
      <c r="C302" s="237" t="str">
        <f>IF('0. Control Panel'!$C$36="","-",'0. Control Panel'!$B$36)</f>
        <v>P5</v>
      </c>
      <c r="D302" s="240" t="str">
        <f>IF(C302="-","-",INDEX('0. Control Panel'!$B$31:$K$41,MATCH('1. FTE Allocations'!$C302,'0. Control Panel'!$B$31:$B$41,0),MATCH(D$18,'0. Control Panel'!$B$31:$K$31,0)))</f>
        <v>Reduced Time to Take New Product to Market</v>
      </c>
      <c r="E302" s="283">
        <v>0</v>
      </c>
      <c r="F302" s="209">
        <f>IFERROR(IF(D302="",0,E302*VLOOKUP($D$284,'0. Control Panel'!$C$7:$E$16,3,FALSE)),0)</f>
        <v>0</v>
      </c>
      <c r="G302" s="283">
        <v>0</v>
      </c>
      <c r="H302" s="236">
        <f>IFERROR(IF(D302="",0,F302*VLOOKUP($D$5,'0. Control Panel'!$C$7:$F$16,4,FALSE)*G302),0)</f>
        <v>0</v>
      </c>
      <c r="I302" s="35">
        <f t="shared" si="39"/>
        <v>0</v>
      </c>
    </row>
    <row r="303" spans="1:9" x14ac:dyDescent="0.25">
      <c r="A303" s="35" t="str">
        <f t="shared" si="38"/>
        <v>-P6</v>
      </c>
      <c r="C303" s="237" t="str">
        <f>IF('0. Control Panel'!$C$37="","-",'0. Control Panel'!$B$37)</f>
        <v>P6</v>
      </c>
      <c r="D303" s="240" t="str">
        <f>IF(C303="-","-",INDEX('0. Control Panel'!$B$31:$K$41,MATCH('1. FTE Allocations'!$C303,'0. Control Panel'!$B$31:$B$41,0),MATCH(D$18,'0. Control Panel'!$B$31:$K$31,0)))</f>
        <v>Reduced Credit Risk Costs</v>
      </c>
      <c r="E303" s="283">
        <v>0</v>
      </c>
      <c r="F303" s="209">
        <f>IFERROR(IF(D303="",0,E303*VLOOKUP($D$284,'0. Control Panel'!$C$7:$E$16,3,FALSE)),0)</f>
        <v>0</v>
      </c>
      <c r="G303" s="283">
        <v>0</v>
      </c>
      <c r="H303" s="236">
        <f>IFERROR(IF(D303="",0,F303*VLOOKUP($D$5,'0. Control Panel'!$C$7:$F$16,4,FALSE)*G303),0)</f>
        <v>0</v>
      </c>
      <c r="I303" s="35">
        <f t="shared" si="39"/>
        <v>0</v>
      </c>
    </row>
    <row r="304" spans="1:9" x14ac:dyDescent="0.25">
      <c r="A304" s="35" t="str">
        <f t="shared" si="38"/>
        <v>-P7</v>
      </c>
      <c r="C304" s="237" t="str">
        <f>IF('0. Control Panel'!$C$38="","-",'0. Control Panel'!$B$38)</f>
        <v>P7</v>
      </c>
      <c r="D304" s="240" t="str">
        <f>IF(C304="-","-",INDEX('0. Control Panel'!$B$31:$K$41,MATCH('1. FTE Allocations'!$C304,'0. Control Panel'!$B$31:$B$41,0),MATCH(D$18,'0. Control Panel'!$B$31:$K$31,0)))</f>
        <v>Reduced Non-Compliance Risk  Costs</v>
      </c>
      <c r="E304" s="283">
        <v>0</v>
      </c>
      <c r="F304" s="209">
        <f>IFERROR(IF(D304="",0,E304*VLOOKUP($D$284,'0. Control Panel'!$C$7:$E$16,3,FALSE)),0)</f>
        <v>0</v>
      </c>
      <c r="G304" s="283">
        <v>0</v>
      </c>
      <c r="H304" s="236">
        <f>IFERROR(IF(D304="",0,F304*VLOOKUP($D$5,'0. Control Panel'!$C$7:$F$16,4,FALSE)*G304),0)</f>
        <v>0</v>
      </c>
      <c r="I304" s="35">
        <f t="shared" si="39"/>
        <v>0</v>
      </c>
    </row>
    <row r="305" spans="1:12" x14ac:dyDescent="0.25">
      <c r="A305" s="35" t="str">
        <f t="shared" si="38"/>
        <v>--</v>
      </c>
      <c r="C305" s="237" t="str">
        <f>IF('0. Control Panel'!C296="","-",'0. Control Panel'!B300)</f>
        <v>-</v>
      </c>
      <c r="D305" s="240" t="str">
        <f>IF(C305="-","-",INDEX('0. Control Panel'!$B$31:$K$41,MATCH('1. FTE Allocations'!$C305,'0. Control Panel'!$B$31:$B$41,0),MATCH(D$18,'0. Control Panel'!$B$31:$K$31,0)))</f>
        <v>-</v>
      </c>
      <c r="E305" s="283">
        <v>0</v>
      </c>
      <c r="F305" s="209">
        <f>IFERROR(IF(D305="",0,E305*VLOOKUP($D$284,'0. Control Panel'!$C$7:$E$16,3,FALSE)),0)</f>
        <v>0</v>
      </c>
      <c r="G305" s="283">
        <v>0</v>
      </c>
      <c r="H305" s="236">
        <f>IFERROR(IF(D305="",0,F305*VLOOKUP($D$5,'0. Control Panel'!$C$7:$F$16,4,FALSE)*G305),0)</f>
        <v>0</v>
      </c>
      <c r="I305" s="35">
        <f t="shared" si="39"/>
        <v>0</v>
      </c>
    </row>
    <row r="306" spans="1:12" x14ac:dyDescent="0.25">
      <c r="A306" s="35" t="str">
        <f t="shared" si="38"/>
        <v>--</v>
      </c>
      <c r="C306" s="237" t="str">
        <f>IF('0. Control Panel'!C297="","-",'0. Control Panel'!B301)</f>
        <v>-</v>
      </c>
      <c r="D306" s="240" t="str">
        <f>IF(C306="-","-",INDEX('0. Control Panel'!$B$31:$K$41,MATCH('1. FTE Allocations'!$C306,'0. Control Panel'!$B$31:$B$41,0),MATCH(D$18,'0. Control Panel'!$B$31:$K$31,0)))</f>
        <v>-</v>
      </c>
      <c r="E306" s="283">
        <v>0</v>
      </c>
      <c r="F306" s="209">
        <f>IFERROR(IF(D306="",0,E306*VLOOKUP($D$284,'0. Control Panel'!$C$7:$E$16,3,FALSE)),0)</f>
        <v>0</v>
      </c>
      <c r="G306" s="283">
        <v>0</v>
      </c>
      <c r="H306" s="236">
        <f>IFERROR(IF(D306="",0,F306*VLOOKUP($D$5,'0. Control Panel'!$C$7:$F$16,4,FALSE)*G306),0)</f>
        <v>0</v>
      </c>
      <c r="I306" s="35">
        <f t="shared" si="39"/>
        <v>0</v>
      </c>
    </row>
    <row r="307" spans="1:12" x14ac:dyDescent="0.25">
      <c r="A307" s="35" t="str">
        <f t="shared" si="38"/>
        <v>--</v>
      </c>
      <c r="C307" s="239" t="str">
        <f>IF('0. Control Panel'!C298="","-",'0. Control Panel'!B302)</f>
        <v>-</v>
      </c>
      <c r="D307" s="240" t="str">
        <f>IF(C307="-","-",INDEX('0. Control Panel'!$B$31:$K$41,MATCH('1. FTE Allocations'!$C307,'0. Control Panel'!$B$31:$B$41,0),MATCH(D$18,'0. Control Panel'!$B$31:$K$31,0)))</f>
        <v>-</v>
      </c>
      <c r="E307" s="284">
        <v>0</v>
      </c>
      <c r="F307" s="209">
        <f>IFERROR(IF(D307="",0,E307*VLOOKUP($D$284,'0. Control Panel'!$C$7:$E$16,3,FALSE)),0)</f>
        <v>0</v>
      </c>
      <c r="G307" s="284">
        <v>0</v>
      </c>
      <c r="H307" s="236">
        <f>IFERROR(IF(D307="",0,F307*VLOOKUP($D$5,'0. Control Panel'!$C$7:$F$16,4,FALSE)*G307),0)</f>
        <v>0</v>
      </c>
      <c r="I307" s="35">
        <f t="shared" si="39"/>
        <v>0</v>
      </c>
    </row>
    <row r="308" spans="1:12" x14ac:dyDescent="0.25">
      <c r="D308" s="241" t="s">
        <v>32</v>
      </c>
      <c r="E308" s="242">
        <f>SUM(E298:E307)</f>
        <v>0</v>
      </c>
      <c r="F308" s="243">
        <f>SUM(F298:F307)</f>
        <v>0</v>
      </c>
      <c r="G308" s="242"/>
      <c r="H308" s="244">
        <f>SUM(H298:H307)</f>
        <v>0</v>
      </c>
    </row>
    <row r="309" spans="1:12" ht="6" customHeight="1" x14ac:dyDescent="0.25"/>
    <row r="310" spans="1:12" x14ac:dyDescent="0.25">
      <c r="C310" s="35"/>
      <c r="D310" s="240" t="s">
        <v>40</v>
      </c>
      <c r="E310" s="245">
        <f>1-SUM(E308,E296)</f>
        <v>1</v>
      </c>
      <c r="F310" s="214">
        <f>IFERROR(IF(D310="",0,E310*VLOOKUP($D$5,'0. Control Panel'!$C$7:$E$16,3,FALSE)),0)</f>
        <v>148.5</v>
      </c>
      <c r="G310" s="180"/>
      <c r="H310" s="246"/>
    </row>
    <row r="311" spans="1:12" ht="6" customHeight="1" x14ac:dyDescent="0.25"/>
    <row r="312" spans="1:12" ht="16.5" thickBot="1" x14ac:dyDescent="0.3">
      <c r="D312" s="247" t="str">
        <f>+"Grand Total for "&amp;D284</f>
        <v>Grand Total for -</v>
      </c>
      <c r="E312" s="248">
        <f>SUM(E296,E308,E310)</f>
        <v>1</v>
      </c>
      <c r="F312" s="249">
        <f>SUM(F296,F308,F310)</f>
        <v>148.5</v>
      </c>
      <c r="G312" s="250"/>
      <c r="H312" s="251">
        <f>SUM(H296,H308)</f>
        <v>0</v>
      </c>
    </row>
    <row r="313" spans="1:12" ht="16.5" thickTop="1" x14ac:dyDescent="0.25"/>
    <row r="314" spans="1:12" x14ac:dyDescent="0.25">
      <c r="D314" s="184"/>
      <c r="E314" s="257"/>
      <c r="F314" s="258"/>
      <c r="G314" s="257"/>
      <c r="H314" s="259"/>
      <c r="I314" s="184"/>
      <c r="J314" s="184"/>
      <c r="K314" s="280"/>
      <c r="L314" s="184"/>
    </row>
    <row r="315" spans="1:12" ht="16.5" thickBot="1" x14ac:dyDescent="0.3">
      <c r="D315" s="47"/>
      <c r="E315" s="228"/>
      <c r="F315" s="219"/>
      <c r="G315" s="228"/>
      <c r="H315" s="63"/>
      <c r="I315" s="47"/>
      <c r="J315" s="47"/>
      <c r="K315" s="281"/>
      <c r="L315" s="47"/>
    </row>
    <row r="316" spans="1:12" ht="16.5" thickTop="1" x14ac:dyDescent="0.25"/>
  </sheetData>
  <sheetProtection algorithmName="SHA-512" hashValue="rEO93vk85InWuq4KuDsG+e9pReQT4k13lpB/Mrh9mAlUbb/FeSpqTubcjg7OHg9DecnhOBVX8onBmNJNKQeOng==" saltValue="Mxst52adGKs3fUZAiVYYeQ==" spinCount="100000" sheet="1" objects="1" scenarios="1" selectLockedCells="1" selectUnlockedCells="1"/>
  <conditionalFormatting sqref="E33">
    <cfRule type="cellIs" dxfId="42" priority="62" operator="equal">
      <formula>1</formula>
    </cfRule>
    <cfRule type="cellIs" dxfId="41" priority="63" operator="notEqual">
      <formula>100</formula>
    </cfRule>
  </conditionalFormatting>
  <conditionalFormatting sqref="I19:I28 I7:I16">
    <cfRule type="cellIs" dxfId="40" priority="60" operator="equal">
      <formula>1</formula>
    </cfRule>
    <cfRule type="cellIs" dxfId="39" priority="61" operator="equal">
      <formula>0</formula>
    </cfRule>
  </conditionalFormatting>
  <conditionalFormatting sqref="I50:I59 I38:I47">
    <cfRule type="cellIs" dxfId="38" priority="56" operator="equal">
      <formula>1</formula>
    </cfRule>
    <cfRule type="cellIs" dxfId="37" priority="57" operator="equal">
      <formula>0</formula>
    </cfRule>
  </conditionalFormatting>
  <conditionalFormatting sqref="I81:I90 I69:I78">
    <cfRule type="cellIs" dxfId="36" priority="52" operator="equal">
      <formula>1</formula>
    </cfRule>
    <cfRule type="cellIs" dxfId="35" priority="53" operator="equal">
      <formula>0</formula>
    </cfRule>
  </conditionalFormatting>
  <conditionalFormatting sqref="I112:I121 I100:I109">
    <cfRule type="cellIs" dxfId="34" priority="48" operator="equal">
      <formula>1</formula>
    </cfRule>
    <cfRule type="cellIs" dxfId="33" priority="49" operator="equal">
      <formula>0</formula>
    </cfRule>
  </conditionalFormatting>
  <conditionalFormatting sqref="I143:I152 I131:I140">
    <cfRule type="cellIs" dxfId="32" priority="44" operator="equal">
      <formula>1</formula>
    </cfRule>
    <cfRule type="cellIs" dxfId="31" priority="45" operator="equal">
      <formula>0</formula>
    </cfRule>
  </conditionalFormatting>
  <conditionalFormatting sqref="I174:I183 I162:I171">
    <cfRule type="cellIs" dxfId="30" priority="40" operator="equal">
      <formula>1</formula>
    </cfRule>
    <cfRule type="cellIs" dxfId="29" priority="41" operator="equal">
      <formula>0</formula>
    </cfRule>
  </conditionalFormatting>
  <conditionalFormatting sqref="I205:I214 I193:I202">
    <cfRule type="cellIs" dxfId="28" priority="36" operator="equal">
      <formula>1</formula>
    </cfRule>
    <cfRule type="cellIs" dxfId="27" priority="37" operator="equal">
      <formula>0</formula>
    </cfRule>
  </conditionalFormatting>
  <conditionalFormatting sqref="I236:I245 I224:I233">
    <cfRule type="cellIs" dxfId="26" priority="32" operator="equal">
      <formula>1</formula>
    </cfRule>
    <cfRule type="cellIs" dxfId="25" priority="33" operator="equal">
      <formula>0</formula>
    </cfRule>
  </conditionalFormatting>
  <conditionalFormatting sqref="I267:I276 I255:I264">
    <cfRule type="cellIs" dxfId="24" priority="28" operator="equal">
      <formula>1</formula>
    </cfRule>
    <cfRule type="cellIs" dxfId="23" priority="29" operator="equal">
      <formula>0</formula>
    </cfRule>
  </conditionalFormatting>
  <conditionalFormatting sqref="I298:I307 I286:I295">
    <cfRule type="cellIs" dxfId="22" priority="24" operator="equal">
      <formula>1</formula>
    </cfRule>
    <cfRule type="cellIs" dxfId="21" priority="25" operator="equal">
      <formula>0</formula>
    </cfRule>
  </conditionalFormatting>
  <conditionalFormatting sqref="L7:L16">
    <cfRule type="cellIs" dxfId="20" priority="22" operator="equal">
      <formula>0</formula>
    </cfRule>
    <cfRule type="cellIs" dxfId="19" priority="23" operator="equal">
      <formula>1</formula>
    </cfRule>
  </conditionalFormatting>
  <conditionalFormatting sqref="E64">
    <cfRule type="cellIs" dxfId="18" priority="17" operator="equal">
      <formula>1</formula>
    </cfRule>
    <cfRule type="cellIs" dxfId="17" priority="18" operator="notEqual">
      <formula>100</formula>
    </cfRule>
  </conditionalFormatting>
  <conditionalFormatting sqref="E95">
    <cfRule type="cellIs" dxfId="16" priority="15" operator="equal">
      <formula>1</formula>
    </cfRule>
    <cfRule type="cellIs" dxfId="15" priority="16" operator="notEqual">
      <formula>100</formula>
    </cfRule>
  </conditionalFormatting>
  <conditionalFormatting sqref="E126">
    <cfRule type="cellIs" dxfId="14" priority="13" operator="equal">
      <formula>1</formula>
    </cfRule>
    <cfRule type="cellIs" dxfId="13" priority="14" operator="notEqual">
      <formula>100</formula>
    </cfRule>
  </conditionalFormatting>
  <conditionalFormatting sqref="E157">
    <cfRule type="cellIs" dxfId="12" priority="11" operator="equal">
      <formula>1</formula>
    </cfRule>
    <cfRule type="cellIs" dxfId="11" priority="12" operator="notEqual">
      <formula>100</formula>
    </cfRule>
  </conditionalFormatting>
  <conditionalFormatting sqref="E188">
    <cfRule type="cellIs" dxfId="10" priority="9" operator="equal">
      <formula>1</formula>
    </cfRule>
    <cfRule type="cellIs" dxfId="9" priority="10" operator="notEqual">
      <formula>100</formula>
    </cfRule>
  </conditionalFormatting>
  <conditionalFormatting sqref="E219">
    <cfRule type="cellIs" dxfId="8" priority="7" operator="equal">
      <formula>1</formula>
    </cfRule>
    <cfRule type="cellIs" dxfId="7" priority="8" operator="notEqual">
      <formula>100</formula>
    </cfRule>
  </conditionalFormatting>
  <conditionalFormatting sqref="E250">
    <cfRule type="cellIs" dxfId="6" priority="5" operator="equal">
      <formula>1</formula>
    </cfRule>
    <cfRule type="cellIs" dxfId="5" priority="6" operator="notEqual">
      <formula>100</formula>
    </cfRule>
  </conditionalFormatting>
  <conditionalFormatting sqref="E281">
    <cfRule type="cellIs" dxfId="4" priority="3" operator="equal">
      <formula>1</formula>
    </cfRule>
    <cfRule type="cellIs" dxfId="3" priority="4" operator="notEqual">
      <formula>100</formula>
    </cfRule>
  </conditionalFormatting>
  <conditionalFormatting sqref="E312">
    <cfRule type="cellIs" dxfId="2" priority="1" operator="equal">
      <formula>1</formula>
    </cfRule>
    <cfRule type="cellIs" dxfId="1" priority="2" operator="notEqual">
      <formula>100</formula>
    </cfRule>
  </conditionalFormatting>
  <pageMargins left="0.7" right="0.7" top="0.75" bottom="0.75" header="0.3" footer="0.3"/>
  <pageSetup paperSize="9" orientation="portrait" horizontalDpi="0" verticalDpi="0"/>
  <extLst>
    <ext xmlns:x14="http://schemas.microsoft.com/office/spreadsheetml/2009/9/main" uri="{78C0D931-6437-407d-A8EE-F0AAD7539E65}">
      <x14:conditionalFormattings>
        <x14:conditionalFormatting xmlns:xm="http://schemas.microsoft.com/office/excel/2006/main">
          <x14:cfRule type="containsText" priority="21" operator="containsText" id="{7806F610-3D30-034B-9C83-ED4FD1D64AC8}">
            <xm:f>NOT(ISERROR(SEARCH("-",L7)))</xm:f>
            <xm:f>"-"</xm:f>
            <x14:dxf>
              <font>
                <color theme="0" tint="-4.9989318521683403E-2"/>
              </font>
              <fill>
                <patternFill>
                  <bgColor theme="0" tint="-4.9989318521683403E-2"/>
                </patternFill>
              </fill>
            </x14:dxf>
          </x14:cfRule>
          <xm:sqref>L7:L16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49"/>
  <sheetViews>
    <sheetView showGridLines="0" workbookViewId="0">
      <pane xSplit="5" ySplit="4" topLeftCell="F80" activePane="bottomRight" state="frozen"/>
      <selection activeCell="G10" sqref="G10:H10"/>
      <selection pane="topRight" activeCell="G10" sqref="G10:H10"/>
      <selection pane="bottomLeft" activeCell="G10" sqref="G10:H10"/>
      <selection pane="bottomRight" activeCell="G10" sqref="G10:H10"/>
    </sheetView>
  </sheetViews>
  <sheetFormatPr defaultColWidth="10.875" defaultRowHeight="15.75" x14ac:dyDescent="0.25"/>
  <cols>
    <col min="1" max="1" width="12" style="35" hidden="1" customWidth="1"/>
    <col min="2" max="2" width="4.5" style="35" customWidth="1"/>
    <col min="3" max="3" width="8.125" style="74" bestFit="1" customWidth="1"/>
    <col min="4" max="4" width="36" style="70" customWidth="1"/>
    <col min="5" max="5" width="1.375" style="74" customWidth="1"/>
    <col min="6" max="6" width="8.875" style="194" bestFit="1" customWidth="1"/>
    <col min="7" max="7" width="1.375" style="74" customWidth="1"/>
    <col min="8" max="10" width="12" style="74" customWidth="1"/>
    <col min="11" max="11" width="1.375" style="74" customWidth="1"/>
    <col min="12" max="12" width="18" style="74" customWidth="1"/>
    <col min="13" max="13" width="1.375" style="74" customWidth="1"/>
    <col min="14" max="16" width="12" style="74" customWidth="1"/>
    <col min="17" max="17" width="1.375" style="74" customWidth="1"/>
    <col min="18" max="18" width="15.375" style="74" customWidth="1"/>
    <col min="19" max="19" width="1.375" style="74" customWidth="1"/>
    <col min="20" max="22" width="12" style="74" customWidth="1"/>
    <col min="23" max="23" width="1.375" style="74" customWidth="1"/>
    <col min="24" max="24" width="10.875" style="35"/>
    <col min="25" max="25" width="1.375" style="35" customWidth="1"/>
    <col min="26" max="16384" width="10.875" style="35"/>
  </cols>
  <sheetData>
    <row r="2" spans="1:28" s="195" customFormat="1" x14ac:dyDescent="0.25">
      <c r="C2" s="51"/>
      <c r="D2" s="220"/>
      <c r="E2" s="51"/>
      <c r="F2" s="221"/>
      <c r="G2" s="51"/>
      <c r="I2" s="51" t="s">
        <v>46</v>
      </c>
      <c r="J2" s="51"/>
      <c r="K2" s="51"/>
      <c r="L2" s="51"/>
      <c r="M2" s="51"/>
      <c r="O2" s="51" t="s">
        <v>46</v>
      </c>
      <c r="P2" s="51"/>
      <c r="Q2" s="51"/>
      <c r="R2" s="51"/>
      <c r="S2" s="51"/>
      <c r="U2" s="51" t="s">
        <v>46</v>
      </c>
      <c r="V2" s="51"/>
      <c r="W2" s="51"/>
    </row>
    <row r="3" spans="1:28" ht="29.25" thickBot="1" x14ac:dyDescent="0.3">
      <c r="C3" s="48" t="s">
        <v>159</v>
      </c>
      <c r="D3" s="222"/>
      <c r="F3" s="197" t="s">
        <v>39</v>
      </c>
      <c r="H3" s="323" t="s">
        <v>45</v>
      </c>
      <c r="I3" s="323"/>
      <c r="J3" s="323"/>
      <c r="K3" s="68"/>
      <c r="L3" s="68"/>
      <c r="M3" s="68"/>
      <c r="N3" s="323" t="s">
        <v>47</v>
      </c>
      <c r="O3" s="323"/>
      <c r="P3" s="323"/>
      <c r="Q3" s="68"/>
      <c r="R3" s="68"/>
      <c r="S3" s="68"/>
      <c r="T3" s="323" t="s">
        <v>48</v>
      </c>
      <c r="U3" s="323"/>
      <c r="V3" s="323"/>
    </row>
    <row r="4" spans="1:28" ht="31.5" x14ac:dyDescent="0.25">
      <c r="B4" s="74"/>
      <c r="F4" s="198" t="s">
        <v>33</v>
      </c>
      <c r="H4" s="199" t="str">
        <f>'0. Control Panel'!$C$44</f>
        <v>Conservative</v>
      </c>
      <c r="I4" s="200" t="str">
        <f>'0. Control Panel'!$C$45</f>
        <v>Pragmatic</v>
      </c>
      <c r="J4" s="201" t="str">
        <f>'0. Control Panel'!$C$46</f>
        <v>Aggressive</v>
      </c>
      <c r="K4" s="68"/>
      <c r="L4" s="202" t="s">
        <v>37</v>
      </c>
      <c r="M4" s="71"/>
      <c r="N4" s="199" t="str">
        <f>'0. Control Panel'!$C$44</f>
        <v>Conservative</v>
      </c>
      <c r="O4" s="200" t="str">
        <f>'0. Control Panel'!$C$45</f>
        <v>Pragmatic</v>
      </c>
      <c r="P4" s="201" t="str">
        <f>'0. Control Panel'!$C$46</f>
        <v>Aggressive</v>
      </c>
      <c r="Q4" s="71"/>
      <c r="R4" s="202" t="s">
        <v>44</v>
      </c>
      <c r="S4" s="71"/>
      <c r="T4" s="199" t="str">
        <f>'0. Control Panel'!$C$44</f>
        <v>Conservative</v>
      </c>
      <c r="U4" s="200" t="str">
        <f>'0. Control Panel'!$C$45</f>
        <v>Pragmatic</v>
      </c>
      <c r="V4" s="201" t="str">
        <f>'0. Control Panel'!$C$46</f>
        <v>Aggressive</v>
      </c>
      <c r="W4" s="70"/>
      <c r="X4" s="180"/>
      <c r="Y4" s="180"/>
      <c r="Z4" s="180"/>
    </row>
    <row r="5" spans="1:28" ht="21" x14ac:dyDescent="0.25">
      <c r="B5" s="74"/>
      <c r="C5" s="187" t="str">
        <f>'0. Control Panel'!$B$20</f>
        <v>C1</v>
      </c>
      <c r="D5" s="223" t="str">
        <f>IF(INDEX('0. Control Panel'!$B$19:$C$29,MATCH('2. Customer Benefit Input'!$C5,'0. Control Panel'!$B$19:$B$29,0),2)="","n/a",INDEX('0. Control Panel'!$B$19:$C$29,MATCH('2. Customer Benefit Input'!$C5,'0. Control Panel'!$B$19:$B$29,0),2))</f>
        <v>Increased Customer Retention</v>
      </c>
      <c r="F5" s="204"/>
      <c r="H5" s="205"/>
      <c r="I5" s="206"/>
      <c r="J5" s="207"/>
      <c r="L5" s="208"/>
      <c r="M5" s="70"/>
      <c r="N5" s="205"/>
      <c r="O5" s="206"/>
      <c r="P5" s="207"/>
      <c r="Q5" s="70"/>
      <c r="R5" s="208"/>
      <c r="S5" s="70"/>
      <c r="T5" s="205"/>
      <c r="U5" s="206"/>
      <c r="V5" s="207"/>
      <c r="W5" s="70"/>
      <c r="X5" s="180"/>
      <c r="Y5" s="180"/>
      <c r="Z5" s="180"/>
    </row>
    <row r="6" spans="1:28" x14ac:dyDescent="0.25">
      <c r="B6" s="74"/>
      <c r="D6" s="224" t="str">
        <f>'0. Control Panel'!$C$6</f>
        <v>Departments/Functions</v>
      </c>
      <c r="F6" s="204"/>
      <c r="H6" s="205"/>
      <c r="I6" s="206"/>
      <c r="J6" s="207"/>
      <c r="L6" s="208"/>
      <c r="M6" s="70"/>
      <c r="N6" s="205"/>
      <c r="O6" s="206"/>
      <c r="P6" s="207"/>
      <c r="Q6" s="70"/>
      <c r="R6" s="208"/>
      <c r="S6" s="70"/>
      <c r="T6" s="205"/>
      <c r="U6" s="206"/>
      <c r="V6" s="207"/>
      <c r="W6" s="70"/>
      <c r="X6" s="180"/>
      <c r="Y6" s="180"/>
      <c r="Z6" s="180"/>
    </row>
    <row r="7" spans="1:28" x14ac:dyDescent="0.25">
      <c r="A7" s="35" t="str">
        <f t="shared" ref="A7:A16" si="0">D7&amp;$C$5</f>
        <v>ITC1</v>
      </c>
      <c r="C7" s="170">
        <f>IF(C6="-","-",IF(C6+1&gt;COUNTA('0. Control Panel'!$C$7:$C$16),"-",'2. Customer Benefit Input'!C6+1))</f>
        <v>1</v>
      </c>
      <c r="D7" s="225" t="str">
        <f>IF(C7="-","-",INDEX('0. Control Panel'!$B$6:$K$16,MATCH('2. Customer Benefit Input'!$C7,'0. Control Panel'!$B$6:$B$16,0),MATCH(D$6,'0. Control Panel'!$B$6:$K$6,0)))</f>
        <v>IT</v>
      </c>
      <c r="E7" s="170"/>
      <c r="F7" s="209">
        <f>IFERROR(INDEX('1. FTE Allocations'!$A$5:$I$307,MATCH($A7,'1. FTE Allocations'!$A$5:$A$307,0),MATCH(F$4,'1. FTE Allocations'!$A$5:$I$5,0)),0)</f>
        <v>0</v>
      </c>
      <c r="H7" s="285">
        <v>0</v>
      </c>
      <c r="I7" s="286">
        <v>0</v>
      </c>
      <c r="J7" s="287">
        <v>0</v>
      </c>
      <c r="L7" s="210">
        <f>IFERROR(INDEX('1. FTE Allocations'!$A$5:$I$307,MATCH($A7,'1. FTE Allocations'!$A$5:$A$307,0),MATCH(L$4,'1. FTE Allocations'!$A$5:$I$5,0)),0)</f>
        <v>0</v>
      </c>
      <c r="M7" s="211"/>
      <c r="N7" s="294">
        <f t="shared" ref="N7:N16" si="1">$L7</f>
        <v>0</v>
      </c>
      <c r="O7" s="295">
        <f t="shared" ref="O7:P16" si="2">$L7</f>
        <v>0</v>
      </c>
      <c r="P7" s="296">
        <f t="shared" si="2"/>
        <v>0</v>
      </c>
      <c r="R7" s="112">
        <f t="shared" ref="R7:R16" si="3">AVERAGE(T7:V7)</f>
        <v>0</v>
      </c>
      <c r="T7" s="285">
        <v>0</v>
      </c>
      <c r="U7" s="286">
        <v>0</v>
      </c>
      <c r="V7" s="287">
        <v>0</v>
      </c>
      <c r="Z7" s="212"/>
      <c r="AA7" s="212"/>
      <c r="AB7" s="212"/>
    </row>
    <row r="8" spans="1:28" x14ac:dyDescent="0.25">
      <c r="A8" s="35" t="str">
        <f t="shared" si="0"/>
        <v>SalesC1</v>
      </c>
      <c r="C8" s="174">
        <f>IF(C7="-","-",IF(C7+1&gt;COUNTA('0. Control Panel'!$C$7:$C$16),"-",'2. Customer Benefit Input'!C7+1))</f>
        <v>2</v>
      </c>
      <c r="D8" s="226" t="str">
        <f>IF(C8="-","-",INDEX('0. Control Panel'!$B$6:$K$16,MATCH('2. Customer Benefit Input'!$C8,'0. Control Panel'!$B$6:$B$16,0),MATCH(D$6,'0. Control Panel'!$B$6:$K$6,0)))</f>
        <v>Sales</v>
      </c>
      <c r="E8" s="174"/>
      <c r="F8" s="214">
        <f>IFERROR(INDEX('1. FTE Allocations'!$A$5:$I$307,MATCH($A8,'1. FTE Allocations'!$A$5:$A$307,0),MATCH(F$4,'1. FTE Allocations'!$A$5:$I$5,0)),0)</f>
        <v>125.55</v>
      </c>
      <c r="H8" s="288">
        <v>-5</v>
      </c>
      <c r="I8" s="289">
        <v>-7</v>
      </c>
      <c r="J8" s="290">
        <v>-10</v>
      </c>
      <c r="L8" s="215">
        <f>IFERROR(INDEX('1. FTE Allocations'!$A$5:$I$307,MATCH($A8,'1. FTE Allocations'!$A$5:$A$307,0),MATCH(L$4,'1. FTE Allocations'!$A$5:$I$5,0)),0)</f>
        <v>1</v>
      </c>
      <c r="M8" s="211"/>
      <c r="N8" s="294">
        <v>0.9</v>
      </c>
      <c r="O8" s="297">
        <v>0.8</v>
      </c>
      <c r="P8" s="298">
        <v>0.6</v>
      </c>
      <c r="R8" s="112">
        <f t="shared" si="3"/>
        <v>1100000</v>
      </c>
      <c r="T8" s="288">
        <v>1100000</v>
      </c>
      <c r="U8" s="288">
        <v>1100000</v>
      </c>
      <c r="V8" s="288">
        <v>1100000</v>
      </c>
      <c r="Z8" s="212"/>
      <c r="AA8" s="212"/>
      <c r="AB8" s="212"/>
    </row>
    <row r="9" spans="1:28" x14ac:dyDescent="0.25">
      <c r="A9" s="35" t="str">
        <f t="shared" si="0"/>
        <v>Product AC1</v>
      </c>
      <c r="C9" s="174">
        <f>IF(C8="-","-",IF(C8+1&gt;COUNTA('0. Control Panel'!$C$7:$C$16),"-",'2. Customer Benefit Input'!C8+1))</f>
        <v>3</v>
      </c>
      <c r="D9" s="226" t="str">
        <f>IF(C9="-","-",INDEX('0. Control Panel'!$B$6:$K$16,MATCH('2. Customer Benefit Input'!$C9,'0. Control Panel'!$B$6:$B$16,0),MATCH(D$6,'0. Control Panel'!$B$6:$K$6,0)))</f>
        <v>Product A</v>
      </c>
      <c r="E9" s="174"/>
      <c r="F9" s="214">
        <f>IFERROR(INDEX('1. FTE Allocations'!$A$5:$I$307,MATCH($A9,'1. FTE Allocations'!$A$5:$A$307,0),MATCH(F$4,'1. FTE Allocations'!$A$5:$I$5,0)),0)</f>
        <v>22.950000000000003</v>
      </c>
      <c r="H9" s="288">
        <v>-7</v>
      </c>
      <c r="I9" s="289">
        <v>0</v>
      </c>
      <c r="J9" s="290">
        <v>0</v>
      </c>
      <c r="L9" s="215">
        <f>IFERROR(INDEX('1. FTE Allocations'!$A$5:$I$307,MATCH($A9,'1. FTE Allocations'!$A$5:$A$307,0),MATCH(L$4,'1. FTE Allocations'!$A$5:$I$5,0)),0)</f>
        <v>0.5</v>
      </c>
      <c r="M9" s="211"/>
      <c r="N9" s="294">
        <f t="shared" si="1"/>
        <v>0.5</v>
      </c>
      <c r="O9" s="297">
        <v>0.45</v>
      </c>
      <c r="P9" s="298">
        <v>0.4</v>
      </c>
      <c r="R9" s="112">
        <f>AVERAGE(T9:V9)</f>
        <v>0</v>
      </c>
      <c r="T9" s="288">
        <v>0</v>
      </c>
      <c r="U9" s="289">
        <v>0</v>
      </c>
      <c r="V9" s="290">
        <v>0</v>
      </c>
      <c r="Z9" s="212"/>
      <c r="AA9" s="212"/>
      <c r="AB9" s="212"/>
    </row>
    <row r="10" spans="1:28" x14ac:dyDescent="0.25">
      <c r="A10" s="35" t="str">
        <f t="shared" si="0"/>
        <v>Product BC1</v>
      </c>
      <c r="C10" s="174">
        <f>IF(C9="-","-",IF(C9+1&gt;COUNTA('0. Control Panel'!$C$7:$C$16),"-",'2. Customer Benefit Input'!C9+1))</f>
        <v>4</v>
      </c>
      <c r="D10" s="226" t="str">
        <f>IF(C10="-","-",INDEX('0. Control Panel'!$B$6:$K$16,MATCH('2. Customer Benefit Input'!$C10,'0. Control Panel'!$B$6:$B$16,0),MATCH(D$6,'0. Control Panel'!$B$6:$K$6,0)))</f>
        <v>Product B</v>
      </c>
      <c r="E10" s="174"/>
      <c r="F10" s="214">
        <f>IFERROR(INDEX('1. FTE Allocations'!$A$5:$I$307,MATCH($A10,'1. FTE Allocations'!$A$5:$A$307,0),MATCH(F$4,'1. FTE Allocations'!$A$5:$I$5,0)),0)</f>
        <v>14.850000000000001</v>
      </c>
      <c r="H10" s="288">
        <v>0</v>
      </c>
      <c r="I10" s="289">
        <v>0</v>
      </c>
      <c r="J10" s="290">
        <v>0</v>
      </c>
      <c r="L10" s="215">
        <f>IFERROR(INDEX('1. FTE Allocations'!$A$5:$I$307,MATCH($A10,'1. FTE Allocations'!$A$5:$A$307,0),MATCH(L$4,'1. FTE Allocations'!$A$5:$I$5,0)),0)</f>
        <v>1</v>
      </c>
      <c r="M10" s="211"/>
      <c r="N10" s="294">
        <v>0.9</v>
      </c>
      <c r="O10" s="297">
        <v>0.8</v>
      </c>
      <c r="P10" s="298">
        <v>0.6</v>
      </c>
      <c r="R10" s="112">
        <f t="shared" si="3"/>
        <v>0</v>
      </c>
      <c r="T10" s="288">
        <v>0</v>
      </c>
      <c r="U10" s="289">
        <v>0</v>
      </c>
      <c r="V10" s="290">
        <v>0</v>
      </c>
      <c r="Z10" s="212"/>
      <c r="AA10" s="212"/>
      <c r="AB10" s="212"/>
    </row>
    <row r="11" spans="1:28" x14ac:dyDescent="0.25">
      <c r="A11" s="35" t="str">
        <f t="shared" si="0"/>
        <v>R&amp;DC1</v>
      </c>
      <c r="C11" s="174">
        <f>IF(C10="-","-",IF(C10+1&gt;COUNTA('0. Control Panel'!$C$7:$C$16),"-",'2. Customer Benefit Input'!C10+1))</f>
        <v>5</v>
      </c>
      <c r="D11" s="226" t="str">
        <f>IF(C11="-","-",INDEX('0. Control Panel'!$B$6:$K$16,MATCH('2. Customer Benefit Input'!$C11,'0. Control Panel'!$B$6:$B$16,0),MATCH(D$6,'0. Control Panel'!$B$6:$K$6,0)))</f>
        <v>R&amp;D</v>
      </c>
      <c r="E11" s="174"/>
      <c r="F11" s="214">
        <f>IFERROR(INDEX('1. FTE Allocations'!$A$5:$I$307,MATCH($A11,'1. FTE Allocations'!$A$5:$A$307,0),MATCH(F$4,'1. FTE Allocations'!$A$5:$I$5,0)),0)</f>
        <v>0</v>
      </c>
      <c r="H11" s="288">
        <v>0</v>
      </c>
      <c r="I11" s="289">
        <v>0</v>
      </c>
      <c r="J11" s="290">
        <v>0</v>
      </c>
      <c r="L11" s="215">
        <f>IFERROR(INDEX('1. FTE Allocations'!$A$5:$I$307,MATCH($A11,'1. FTE Allocations'!$A$5:$A$307,0),MATCH(L$4,'1. FTE Allocations'!$A$5:$I$5,0)),0)</f>
        <v>0</v>
      </c>
      <c r="M11" s="211"/>
      <c r="N11" s="294">
        <f t="shared" si="1"/>
        <v>0</v>
      </c>
      <c r="O11" s="297">
        <f t="shared" si="2"/>
        <v>0</v>
      </c>
      <c r="P11" s="298">
        <f t="shared" si="2"/>
        <v>0</v>
      </c>
      <c r="R11" s="112">
        <f t="shared" si="3"/>
        <v>0</v>
      </c>
      <c r="T11" s="288">
        <v>0</v>
      </c>
      <c r="U11" s="289">
        <v>0</v>
      </c>
      <c r="V11" s="290">
        <v>0</v>
      </c>
      <c r="Z11" s="212"/>
      <c r="AA11" s="212"/>
      <c r="AB11" s="212"/>
    </row>
    <row r="12" spans="1:28" x14ac:dyDescent="0.25">
      <c r="A12" s="35" t="str">
        <f t="shared" si="0"/>
        <v>HRC1</v>
      </c>
      <c r="C12" s="174">
        <f>IF(C11="-","-",IF(C11+1&gt;COUNTA('0. Control Panel'!$C$7:$C$16),"-",'2. Customer Benefit Input'!C11+1))</f>
        <v>6</v>
      </c>
      <c r="D12" s="226" t="str">
        <f>IF(C12="-","-",INDEX('0. Control Panel'!$B$6:$K$16,MATCH('2. Customer Benefit Input'!$C12,'0. Control Panel'!$B$6:$B$16,0),MATCH(D$6,'0. Control Panel'!$B$6:$K$6,0)))</f>
        <v>HR</v>
      </c>
      <c r="E12" s="174"/>
      <c r="F12" s="214">
        <f>IFERROR(INDEX('1. FTE Allocations'!$A$5:$I$307,MATCH($A12,'1. FTE Allocations'!$A$5:$A$307,0),MATCH(F$4,'1. FTE Allocations'!$A$5:$I$5,0)),0)</f>
        <v>0</v>
      </c>
      <c r="H12" s="288">
        <v>0</v>
      </c>
      <c r="I12" s="289">
        <v>0</v>
      </c>
      <c r="J12" s="290">
        <v>0</v>
      </c>
      <c r="L12" s="215">
        <f>IFERROR(INDEX('1. FTE Allocations'!$A$5:$I$307,MATCH($A12,'1. FTE Allocations'!$A$5:$A$307,0),MATCH(L$4,'1. FTE Allocations'!$A$5:$I$5,0)),0)</f>
        <v>0</v>
      </c>
      <c r="M12" s="211"/>
      <c r="N12" s="294">
        <f t="shared" si="1"/>
        <v>0</v>
      </c>
      <c r="O12" s="297">
        <f t="shared" si="2"/>
        <v>0</v>
      </c>
      <c r="P12" s="298">
        <f t="shared" si="2"/>
        <v>0</v>
      </c>
      <c r="R12" s="112">
        <f t="shared" si="3"/>
        <v>0</v>
      </c>
      <c r="T12" s="288">
        <v>0</v>
      </c>
      <c r="U12" s="289">
        <v>0</v>
      </c>
      <c r="V12" s="290">
        <v>0</v>
      </c>
      <c r="Z12" s="212"/>
      <c r="AA12" s="212"/>
      <c r="AB12" s="212"/>
    </row>
    <row r="13" spans="1:28" x14ac:dyDescent="0.25">
      <c r="A13" s="35" t="str">
        <f t="shared" si="0"/>
        <v>FinanceC1</v>
      </c>
      <c r="C13" s="174">
        <f>IF(C12="-","-",IF(C12+1&gt;COUNTA('0. Control Panel'!$C$7:$C$16),"-",'2. Customer Benefit Input'!C12+1))</f>
        <v>7</v>
      </c>
      <c r="D13" s="226" t="str">
        <f>IF(C13="-","-",INDEX('0. Control Panel'!$B$6:$K$16,MATCH('2. Customer Benefit Input'!$C13,'0. Control Panel'!$B$6:$B$16,0),MATCH(D$6,'0. Control Panel'!$B$6:$K$6,0)))</f>
        <v>Finance</v>
      </c>
      <c r="E13" s="174"/>
      <c r="F13" s="214">
        <f>IFERROR(INDEX('1. FTE Allocations'!$A$5:$I$307,MATCH($A13,'1. FTE Allocations'!$A$5:$A$307,0),MATCH(F$4,'1. FTE Allocations'!$A$5:$I$5,0)),0)</f>
        <v>0</v>
      </c>
      <c r="H13" s="288">
        <v>0</v>
      </c>
      <c r="I13" s="289">
        <v>0</v>
      </c>
      <c r="J13" s="290">
        <v>0</v>
      </c>
      <c r="L13" s="215">
        <f>IFERROR(INDEX('1. FTE Allocations'!$A$5:$I$307,MATCH($A13,'1. FTE Allocations'!$A$5:$A$307,0),MATCH(L$4,'1. FTE Allocations'!$A$5:$I$5,0)),0)</f>
        <v>0</v>
      </c>
      <c r="M13" s="211"/>
      <c r="N13" s="294">
        <f t="shared" si="1"/>
        <v>0</v>
      </c>
      <c r="O13" s="297">
        <f t="shared" si="2"/>
        <v>0</v>
      </c>
      <c r="P13" s="298">
        <f t="shared" si="2"/>
        <v>0</v>
      </c>
      <c r="R13" s="112">
        <f t="shared" si="3"/>
        <v>0</v>
      </c>
      <c r="T13" s="288">
        <v>0</v>
      </c>
      <c r="U13" s="289">
        <v>0</v>
      </c>
      <c r="V13" s="290">
        <v>0</v>
      </c>
      <c r="Z13" s="212"/>
      <c r="AA13" s="212"/>
      <c r="AB13" s="212"/>
    </row>
    <row r="14" spans="1:28" x14ac:dyDescent="0.25">
      <c r="A14" s="35" t="str">
        <f t="shared" si="0"/>
        <v>Head OfficeC1</v>
      </c>
      <c r="C14" s="174">
        <f>IF(C13="-","-",IF(C13+1&gt;COUNTA('0. Control Panel'!$C$7:$C$16),"-",'2. Customer Benefit Input'!C13+1))</f>
        <v>8</v>
      </c>
      <c r="D14" s="226" t="str">
        <f>IF(C14="-","-",INDEX('0. Control Panel'!$B$6:$K$16,MATCH('2. Customer Benefit Input'!$C14,'0. Control Panel'!$B$6:$B$16,0),MATCH(D$6,'0. Control Panel'!$B$6:$K$6,0)))</f>
        <v>Head Office</v>
      </c>
      <c r="E14" s="174"/>
      <c r="F14" s="214">
        <f>IFERROR(INDEX('1. FTE Allocations'!$A$5:$I$307,MATCH($A14,'1. FTE Allocations'!$A$5:$A$307,0),MATCH(F$4,'1. FTE Allocations'!$A$5:$I$5,0)),0)</f>
        <v>0</v>
      </c>
      <c r="H14" s="288">
        <v>0</v>
      </c>
      <c r="I14" s="289">
        <v>0</v>
      </c>
      <c r="J14" s="290">
        <v>0</v>
      </c>
      <c r="L14" s="215">
        <f>IFERROR(INDEX('1. FTE Allocations'!$A$5:$I$307,MATCH($A14,'1. FTE Allocations'!$A$5:$A$307,0),MATCH(L$4,'1. FTE Allocations'!$A$5:$I$5,0)),0)</f>
        <v>0</v>
      </c>
      <c r="M14" s="211"/>
      <c r="N14" s="294">
        <f t="shared" si="1"/>
        <v>0</v>
      </c>
      <c r="O14" s="297">
        <f t="shared" si="2"/>
        <v>0</v>
      </c>
      <c r="P14" s="298">
        <f t="shared" si="2"/>
        <v>0</v>
      </c>
      <c r="R14" s="112">
        <f t="shared" si="3"/>
        <v>0</v>
      </c>
      <c r="T14" s="288">
        <v>0</v>
      </c>
      <c r="U14" s="289">
        <v>0</v>
      </c>
      <c r="V14" s="290">
        <v>0</v>
      </c>
      <c r="Z14" s="212"/>
      <c r="AA14" s="212"/>
      <c r="AB14" s="212"/>
    </row>
    <row r="15" spans="1:28" x14ac:dyDescent="0.25">
      <c r="A15" s="35" t="str">
        <f t="shared" si="0"/>
        <v>-C1</v>
      </c>
      <c r="C15" s="174" t="str">
        <f>IF(C14="-","-",IF(C14+1&gt;COUNTA('0. Control Panel'!$C$7:$C$16),"-",'2. Customer Benefit Input'!C14+1))</f>
        <v>-</v>
      </c>
      <c r="D15" s="226" t="str">
        <f>IF(C15="-","-",INDEX('0. Control Panel'!$B$6:$K$16,MATCH('2. Customer Benefit Input'!$C15,'0. Control Panel'!$B$6:$B$16,0),MATCH(D$6,'0. Control Panel'!$B$6:$K$6,0)))</f>
        <v>-</v>
      </c>
      <c r="E15" s="174"/>
      <c r="F15" s="214">
        <f>IFERROR(INDEX('1. FTE Allocations'!$A$5:$I$307,MATCH($A15,'1. FTE Allocations'!$A$5:$A$307,0),MATCH(F$4,'1. FTE Allocations'!$A$5:$I$5,0)),0)</f>
        <v>0</v>
      </c>
      <c r="H15" s="288">
        <v>0</v>
      </c>
      <c r="I15" s="289">
        <v>0</v>
      </c>
      <c r="J15" s="290">
        <v>0</v>
      </c>
      <c r="L15" s="215">
        <f>IFERROR(INDEX('1. FTE Allocations'!$A$5:$I$307,MATCH($A15,'1. FTE Allocations'!$A$5:$A$307,0),MATCH(L$4,'1. FTE Allocations'!$A$5:$I$5,0)),0)</f>
        <v>0</v>
      </c>
      <c r="M15" s="211"/>
      <c r="N15" s="294">
        <f t="shared" si="1"/>
        <v>0</v>
      </c>
      <c r="O15" s="297">
        <f t="shared" si="2"/>
        <v>0</v>
      </c>
      <c r="P15" s="298">
        <f t="shared" si="2"/>
        <v>0</v>
      </c>
      <c r="R15" s="112">
        <f t="shared" si="3"/>
        <v>0</v>
      </c>
      <c r="T15" s="288">
        <v>0</v>
      </c>
      <c r="U15" s="289">
        <v>0</v>
      </c>
      <c r="V15" s="290">
        <v>0</v>
      </c>
      <c r="Z15" s="212"/>
      <c r="AA15" s="212"/>
      <c r="AB15" s="212"/>
    </row>
    <row r="16" spans="1:28" x14ac:dyDescent="0.25">
      <c r="A16" s="35" t="str">
        <f t="shared" si="0"/>
        <v>-C1</v>
      </c>
      <c r="C16" s="175" t="str">
        <f>IF(C15="-","-",IF(C15+1&gt;COUNTA('0. Control Panel'!$C$7:$C$16),"-",'2. Customer Benefit Input'!C15+1))</f>
        <v>-</v>
      </c>
      <c r="D16" s="227" t="str">
        <f>IF(C16="-","-",INDEX('0. Control Panel'!$B$6:$K$16,MATCH('2. Customer Benefit Input'!$C16,'0. Control Panel'!$B$6:$B$16,0),MATCH(D$6,'0. Control Panel'!$B$6:$K$6,0)))</f>
        <v>-</v>
      </c>
      <c r="E16" s="175"/>
      <c r="F16" s="216">
        <f>IFERROR(INDEX('1. FTE Allocations'!$A$5:$I$307,MATCH($A16,'1. FTE Allocations'!$A$5:$A$307,0),MATCH(F$4,'1. FTE Allocations'!$A$5:$I$5,0)),0)</f>
        <v>0</v>
      </c>
      <c r="H16" s="291">
        <v>0</v>
      </c>
      <c r="I16" s="292">
        <v>0</v>
      </c>
      <c r="J16" s="293">
        <v>0</v>
      </c>
      <c r="L16" s="217">
        <f>IFERROR(INDEX('1. FTE Allocations'!$A$5:$I$307,MATCH($A16,'1. FTE Allocations'!$A$5:$A$307,0),MATCH(L$4,'1. FTE Allocations'!$A$5:$I$5,0)),0)</f>
        <v>0</v>
      </c>
      <c r="M16" s="211"/>
      <c r="N16" s="299">
        <f t="shared" si="1"/>
        <v>0</v>
      </c>
      <c r="O16" s="300">
        <f t="shared" si="2"/>
        <v>0</v>
      </c>
      <c r="P16" s="301">
        <f t="shared" si="2"/>
        <v>0</v>
      </c>
      <c r="R16" s="317">
        <f t="shared" si="3"/>
        <v>0</v>
      </c>
      <c r="T16" s="291">
        <v>0</v>
      </c>
      <c r="U16" s="292">
        <v>0</v>
      </c>
      <c r="V16" s="293">
        <v>0</v>
      </c>
      <c r="Z16" s="212"/>
      <c r="AA16" s="212"/>
      <c r="AB16" s="212"/>
    </row>
    <row r="17" spans="1:23" x14ac:dyDescent="0.25">
      <c r="C17" s="51"/>
      <c r="D17" s="314" t="s">
        <v>72</v>
      </c>
      <c r="E17" s="51"/>
      <c r="F17" s="315">
        <f>SUM(F7:F16)</f>
        <v>163.35</v>
      </c>
      <c r="G17" s="35"/>
      <c r="R17" s="316">
        <f>SUM(R7:R16)</f>
        <v>1100000</v>
      </c>
      <c r="W17" s="51"/>
    </row>
    <row r="18" spans="1:23" ht="9.9499999999999993" customHeight="1" x14ac:dyDescent="0.25">
      <c r="C18" s="51"/>
      <c r="D18" s="220"/>
      <c r="E18" s="51"/>
      <c r="F18" s="313"/>
      <c r="G18" s="35"/>
      <c r="R18" s="164"/>
      <c r="S18" s="35"/>
      <c r="T18" s="35"/>
      <c r="U18" s="35"/>
      <c r="V18" s="35"/>
      <c r="W18" s="51"/>
    </row>
    <row r="19" spans="1:23" ht="15.95" customHeight="1" x14ac:dyDescent="0.25">
      <c r="C19" s="187" t="s">
        <v>13</v>
      </c>
      <c r="D19" s="223" t="str">
        <f>IF(INDEX('0. Control Panel'!$B$19:$C$29,MATCH('2. Customer Benefit Input'!$C19,'0. Control Panel'!$B$19:$B$29,0),2)="","n/a",INDEX('0. Control Panel'!$B$19:$C$29,MATCH('2. Customer Benefit Input'!$C19,'0. Control Panel'!$B$19:$B$29,0),2))</f>
        <v>Reduced Sales Order Errors</v>
      </c>
      <c r="F19" s="218"/>
      <c r="G19" s="35"/>
      <c r="H19" s="35"/>
      <c r="I19" s="35"/>
      <c r="J19" s="35"/>
      <c r="K19" s="35"/>
      <c r="L19" s="35"/>
      <c r="M19" s="35"/>
      <c r="N19" s="35"/>
      <c r="O19" s="35"/>
      <c r="P19" s="35"/>
      <c r="Q19" s="35"/>
      <c r="R19" s="35"/>
      <c r="S19" s="35"/>
      <c r="T19" s="35"/>
      <c r="U19" s="35"/>
      <c r="V19" s="35"/>
    </row>
    <row r="20" spans="1:23" x14ac:dyDescent="0.25">
      <c r="A20" s="35" t="str">
        <f>D20&amp;$C$19</f>
        <v>ITC2</v>
      </c>
      <c r="C20" s="170">
        <f>IF(C17="-","-",IF(C17+1&gt;COUNTA('0. Control Panel'!$C$7:$C$16),"-",'2. Customer Benefit Input'!C17+1))</f>
        <v>1</v>
      </c>
      <c r="D20" s="225" t="str">
        <f>IF(C20="-","-",INDEX('0. Control Panel'!$B$6:$K$16,MATCH('2. Customer Benefit Input'!$C20,'0. Control Panel'!$B$6:$B$16,0),MATCH(D$6,'0. Control Panel'!$B$6:$K$6,0)))</f>
        <v>IT</v>
      </c>
      <c r="E20" s="170"/>
      <c r="F20" s="209">
        <f>IFERROR(INDEX('1. FTE Allocations'!$A$5:$I$307,MATCH($A20,'1. FTE Allocations'!$A$5:$A$307,0),MATCH(F$4,'1. FTE Allocations'!$A$5:$I$5,0)),0)</f>
        <v>22.274999999999999</v>
      </c>
      <c r="H20" s="285">
        <v>-1</v>
      </c>
      <c r="I20" s="286">
        <v>-3</v>
      </c>
      <c r="J20" s="287">
        <v>-5</v>
      </c>
      <c r="L20" s="210">
        <f>IFERROR(INDEX('1. FTE Allocations'!$A$5:$I$307,MATCH($A20,'1. FTE Allocations'!$A$5:$A$307,0),MATCH(L$4,'1. FTE Allocations'!$A$5:$I$5,0)),0)</f>
        <v>1</v>
      </c>
      <c r="M20" s="211"/>
      <c r="N20" s="302">
        <v>1</v>
      </c>
      <c r="O20" s="295">
        <v>0.9</v>
      </c>
      <c r="P20" s="296">
        <v>0.8</v>
      </c>
      <c r="R20" s="112">
        <f t="shared" ref="R20:R29" si="4">AVERAGE(T20:V20)</f>
        <v>0</v>
      </c>
      <c r="T20" s="285">
        <v>0</v>
      </c>
      <c r="U20" s="286">
        <v>0</v>
      </c>
      <c r="V20" s="287">
        <v>0</v>
      </c>
    </row>
    <row r="21" spans="1:23" x14ac:dyDescent="0.25">
      <c r="A21" s="35" t="str">
        <f t="shared" ref="A21:A29" si="5">D21&amp;$C$19</f>
        <v>SalesC2</v>
      </c>
      <c r="C21" s="174">
        <f>IF(C20="-","-",IF(C20+1&gt;COUNTA('0. Control Panel'!$C$7:$C$16),"-",'2. Customer Benefit Input'!C20+1))</f>
        <v>2</v>
      </c>
      <c r="D21" s="226" t="str">
        <f>IF(C21="-","-",INDEX('0. Control Panel'!$B$6:$K$16,MATCH('2. Customer Benefit Input'!$C21,'0. Control Panel'!$B$6:$B$16,0),MATCH(D$6,'0. Control Panel'!$B$6:$K$6,0)))</f>
        <v>Sales</v>
      </c>
      <c r="E21" s="174"/>
      <c r="F21" s="214">
        <f>IFERROR(INDEX('1. FTE Allocations'!$A$5:$I$307,MATCH($A21,'1. FTE Allocations'!$A$5:$A$307,0),MATCH(F$4,'1. FTE Allocations'!$A$5:$I$5,0)),0)</f>
        <v>41.85</v>
      </c>
      <c r="H21" s="288">
        <v>-3</v>
      </c>
      <c r="I21" s="289">
        <v>-5</v>
      </c>
      <c r="J21" s="290">
        <v>-10</v>
      </c>
      <c r="L21" s="215">
        <f>IFERROR(INDEX('1. FTE Allocations'!$A$5:$I$307,MATCH($A21,'1. FTE Allocations'!$A$5:$A$307,0),MATCH(L$4,'1. FTE Allocations'!$A$5:$I$5,0)),0)</f>
        <v>1</v>
      </c>
      <c r="M21" s="211"/>
      <c r="N21" s="294">
        <f t="shared" ref="N21:N29" si="6">$L21</f>
        <v>1</v>
      </c>
      <c r="O21" s="295">
        <v>0.9</v>
      </c>
      <c r="P21" s="296">
        <v>0.8</v>
      </c>
      <c r="R21" s="112">
        <f t="shared" si="4"/>
        <v>300000</v>
      </c>
      <c r="T21" s="288">
        <v>300000</v>
      </c>
      <c r="U21" s="288">
        <v>300000</v>
      </c>
      <c r="V21" s="288">
        <v>300000</v>
      </c>
    </row>
    <row r="22" spans="1:23" x14ac:dyDescent="0.25">
      <c r="A22" s="35" t="str">
        <f t="shared" si="5"/>
        <v>Product AC2</v>
      </c>
      <c r="C22" s="174">
        <f>IF(C21="-","-",IF(C21+1&gt;COUNTA('0. Control Panel'!$C$7:$C$16),"-",'2. Customer Benefit Input'!C21+1))</f>
        <v>3</v>
      </c>
      <c r="D22" s="226" t="str">
        <f>IF(C22="-","-",INDEX('0. Control Panel'!$B$6:$K$16,MATCH('2. Customer Benefit Input'!$C22,'0. Control Panel'!$B$6:$B$16,0),MATCH(D$6,'0. Control Panel'!$B$6:$K$6,0)))</f>
        <v>Product A</v>
      </c>
      <c r="E22" s="174"/>
      <c r="F22" s="214">
        <f>IFERROR(INDEX('1. FTE Allocations'!$A$5:$I$307,MATCH($A22,'1. FTE Allocations'!$A$5:$A$307,0),MATCH(F$4,'1. FTE Allocations'!$A$5:$I$5,0)),0)</f>
        <v>0</v>
      </c>
      <c r="H22" s="288">
        <v>0</v>
      </c>
      <c r="I22" s="289">
        <v>0</v>
      </c>
      <c r="J22" s="290">
        <v>0</v>
      </c>
      <c r="L22" s="215">
        <f>IFERROR(INDEX('1. FTE Allocations'!$A$5:$I$307,MATCH($A22,'1. FTE Allocations'!$A$5:$A$307,0),MATCH(L$4,'1. FTE Allocations'!$A$5:$I$5,0)),0)</f>
        <v>0</v>
      </c>
      <c r="M22" s="211"/>
      <c r="N22" s="294">
        <f t="shared" si="6"/>
        <v>0</v>
      </c>
      <c r="O22" s="297">
        <f t="shared" ref="O22:P29" si="7">$L22</f>
        <v>0</v>
      </c>
      <c r="P22" s="298">
        <f t="shared" si="7"/>
        <v>0</v>
      </c>
      <c r="R22" s="112">
        <f>AVERAGE(T22:V22)</f>
        <v>0</v>
      </c>
      <c r="T22" s="288">
        <v>0</v>
      </c>
      <c r="U22" s="289">
        <v>0</v>
      </c>
      <c r="V22" s="290">
        <v>0</v>
      </c>
    </row>
    <row r="23" spans="1:23" x14ac:dyDescent="0.25">
      <c r="A23" s="35" t="str">
        <f t="shared" si="5"/>
        <v>Product BC2</v>
      </c>
      <c r="C23" s="174">
        <f>IF(C22="-","-",IF(C22+1&gt;COUNTA('0. Control Panel'!$C$7:$C$16),"-",'2. Customer Benefit Input'!C22+1))</f>
        <v>4</v>
      </c>
      <c r="D23" s="226" t="str">
        <f>IF(C23="-","-",INDEX('0. Control Panel'!$B$6:$K$16,MATCH('2. Customer Benefit Input'!$C23,'0. Control Panel'!$B$6:$B$16,0),MATCH(D$6,'0. Control Panel'!$B$6:$K$6,0)))</f>
        <v>Product B</v>
      </c>
      <c r="E23" s="174"/>
      <c r="F23" s="214">
        <f>IFERROR(INDEX('1. FTE Allocations'!$A$5:$I$307,MATCH($A23,'1. FTE Allocations'!$A$5:$A$307,0),MATCH(F$4,'1. FTE Allocations'!$A$5:$I$5,0)),0)</f>
        <v>0</v>
      </c>
      <c r="H23" s="288">
        <v>0</v>
      </c>
      <c r="I23" s="289">
        <v>0</v>
      </c>
      <c r="J23" s="290">
        <v>0</v>
      </c>
      <c r="L23" s="215">
        <f>IFERROR(INDEX('1. FTE Allocations'!$A$5:$I$307,MATCH($A23,'1. FTE Allocations'!$A$5:$A$307,0),MATCH(L$4,'1. FTE Allocations'!$A$5:$I$5,0)),0)</f>
        <v>0</v>
      </c>
      <c r="M23" s="211"/>
      <c r="N23" s="294">
        <f t="shared" si="6"/>
        <v>0</v>
      </c>
      <c r="O23" s="297">
        <f t="shared" si="7"/>
        <v>0</v>
      </c>
      <c r="P23" s="298">
        <f t="shared" si="7"/>
        <v>0</v>
      </c>
      <c r="R23" s="112">
        <f t="shared" si="4"/>
        <v>0</v>
      </c>
      <c r="T23" s="288">
        <v>0</v>
      </c>
      <c r="U23" s="289">
        <v>0</v>
      </c>
      <c r="V23" s="290">
        <v>0</v>
      </c>
    </row>
    <row r="24" spans="1:23" x14ac:dyDescent="0.25">
      <c r="A24" s="35" t="str">
        <f t="shared" si="5"/>
        <v>R&amp;DC2</v>
      </c>
      <c r="C24" s="174">
        <f>IF(C23="-","-",IF(C23+1&gt;COUNTA('0. Control Panel'!$C$7:$C$16),"-",'2. Customer Benefit Input'!C23+1))</f>
        <v>5</v>
      </c>
      <c r="D24" s="226" t="str">
        <f>IF(C24="-","-",INDEX('0. Control Panel'!$B$6:$K$16,MATCH('2. Customer Benefit Input'!$C24,'0. Control Panel'!$B$6:$B$16,0),MATCH(D$6,'0. Control Panel'!$B$6:$K$6,0)))</f>
        <v>R&amp;D</v>
      </c>
      <c r="E24" s="174"/>
      <c r="F24" s="214">
        <f>IFERROR(INDEX('1. FTE Allocations'!$A$5:$I$307,MATCH($A24,'1. FTE Allocations'!$A$5:$A$307,0),MATCH(F$4,'1. FTE Allocations'!$A$5:$I$5,0)),0)</f>
        <v>0</v>
      </c>
      <c r="H24" s="288">
        <v>0</v>
      </c>
      <c r="I24" s="289">
        <v>0</v>
      </c>
      <c r="J24" s="290">
        <v>0</v>
      </c>
      <c r="L24" s="215">
        <f>IFERROR(INDEX('1. FTE Allocations'!$A$5:$I$307,MATCH($A24,'1. FTE Allocations'!$A$5:$A$307,0),MATCH(L$4,'1. FTE Allocations'!$A$5:$I$5,0)),0)</f>
        <v>0</v>
      </c>
      <c r="M24" s="211"/>
      <c r="N24" s="294">
        <f t="shared" si="6"/>
        <v>0</v>
      </c>
      <c r="O24" s="297">
        <f t="shared" si="7"/>
        <v>0</v>
      </c>
      <c r="P24" s="298">
        <f t="shared" si="7"/>
        <v>0</v>
      </c>
      <c r="R24" s="112">
        <f t="shared" si="4"/>
        <v>0</v>
      </c>
      <c r="T24" s="288">
        <v>0</v>
      </c>
      <c r="U24" s="289">
        <v>0</v>
      </c>
      <c r="V24" s="290">
        <v>0</v>
      </c>
    </row>
    <row r="25" spans="1:23" x14ac:dyDescent="0.25">
      <c r="A25" s="35" t="str">
        <f t="shared" si="5"/>
        <v>HRC2</v>
      </c>
      <c r="C25" s="174">
        <f>IF(C24="-","-",IF(C24+1&gt;COUNTA('0. Control Panel'!$C$7:$C$16),"-",'2. Customer Benefit Input'!C24+1))</f>
        <v>6</v>
      </c>
      <c r="D25" s="226" t="str">
        <f>IF(C25="-","-",INDEX('0. Control Panel'!$B$6:$K$16,MATCH('2. Customer Benefit Input'!$C25,'0. Control Panel'!$B$6:$B$16,0),MATCH(D$6,'0. Control Panel'!$B$6:$K$6,0)))</f>
        <v>HR</v>
      </c>
      <c r="E25" s="174"/>
      <c r="F25" s="214">
        <f>IFERROR(INDEX('1. FTE Allocations'!$A$5:$I$307,MATCH($A25,'1. FTE Allocations'!$A$5:$A$307,0),MATCH(F$4,'1. FTE Allocations'!$A$5:$I$5,0)),0)</f>
        <v>0</v>
      </c>
      <c r="H25" s="288">
        <v>0</v>
      </c>
      <c r="I25" s="289">
        <v>0</v>
      </c>
      <c r="J25" s="290">
        <v>0</v>
      </c>
      <c r="L25" s="215">
        <f>IFERROR(INDEX('1. FTE Allocations'!$A$5:$I$307,MATCH($A25,'1. FTE Allocations'!$A$5:$A$307,0),MATCH(L$4,'1. FTE Allocations'!$A$5:$I$5,0)),0)</f>
        <v>0</v>
      </c>
      <c r="M25" s="211"/>
      <c r="N25" s="294">
        <f t="shared" si="6"/>
        <v>0</v>
      </c>
      <c r="O25" s="297">
        <f t="shared" si="7"/>
        <v>0</v>
      </c>
      <c r="P25" s="298">
        <f t="shared" si="7"/>
        <v>0</v>
      </c>
      <c r="R25" s="112">
        <f t="shared" si="4"/>
        <v>0</v>
      </c>
      <c r="T25" s="288">
        <v>0</v>
      </c>
      <c r="U25" s="289">
        <v>0</v>
      </c>
      <c r="V25" s="290">
        <v>0</v>
      </c>
    </row>
    <row r="26" spans="1:23" x14ac:dyDescent="0.25">
      <c r="A26" s="35" t="str">
        <f t="shared" si="5"/>
        <v>FinanceC2</v>
      </c>
      <c r="C26" s="174">
        <f>IF(C25="-","-",IF(C25+1&gt;COUNTA('0. Control Panel'!$C$7:$C$16),"-",'2. Customer Benefit Input'!C25+1))</f>
        <v>7</v>
      </c>
      <c r="D26" s="226" t="str">
        <f>IF(C26="-","-",INDEX('0. Control Panel'!$B$6:$K$16,MATCH('2. Customer Benefit Input'!$C26,'0. Control Panel'!$B$6:$B$16,0),MATCH(D$6,'0. Control Panel'!$B$6:$K$6,0)))</f>
        <v>Finance</v>
      </c>
      <c r="E26" s="174"/>
      <c r="F26" s="214">
        <f>IFERROR(INDEX('1. FTE Allocations'!$A$5:$I$307,MATCH($A26,'1. FTE Allocations'!$A$5:$A$307,0),MATCH(F$4,'1. FTE Allocations'!$A$5:$I$5,0)),0)</f>
        <v>16.2</v>
      </c>
      <c r="H26" s="288">
        <v>-1</v>
      </c>
      <c r="I26" s="289">
        <v>-2</v>
      </c>
      <c r="J26" s="290">
        <v>-4</v>
      </c>
      <c r="L26" s="215">
        <f>IFERROR(INDEX('1. FTE Allocations'!$A$5:$I$307,MATCH($A26,'1. FTE Allocations'!$A$5:$A$307,0),MATCH(L$4,'1. FTE Allocations'!$A$5:$I$5,0)),0)</f>
        <v>0.5</v>
      </c>
      <c r="M26" s="211"/>
      <c r="N26" s="294">
        <f t="shared" si="6"/>
        <v>0.5</v>
      </c>
      <c r="O26" s="297">
        <v>0.4</v>
      </c>
      <c r="P26" s="298">
        <v>0.3</v>
      </c>
      <c r="R26" s="112">
        <f t="shared" si="4"/>
        <v>0</v>
      </c>
      <c r="T26" s="288">
        <v>0</v>
      </c>
      <c r="U26" s="289">
        <v>0</v>
      </c>
      <c r="V26" s="290">
        <v>0</v>
      </c>
    </row>
    <row r="27" spans="1:23" x14ac:dyDescent="0.25">
      <c r="A27" s="35" t="str">
        <f t="shared" si="5"/>
        <v>Head OfficeC2</v>
      </c>
      <c r="C27" s="174">
        <f>IF(C26="-","-",IF(C26+1&gt;COUNTA('0. Control Panel'!$C$7:$C$16),"-",'2. Customer Benefit Input'!C26+1))</f>
        <v>8</v>
      </c>
      <c r="D27" s="226" t="str">
        <f>IF(C27="-","-",INDEX('0. Control Panel'!$B$6:$K$16,MATCH('2. Customer Benefit Input'!$C27,'0. Control Panel'!$B$6:$B$16,0),MATCH(D$6,'0. Control Panel'!$B$6:$K$6,0)))</f>
        <v>Head Office</v>
      </c>
      <c r="E27" s="174"/>
      <c r="F27" s="214">
        <f>IFERROR(INDEX('1. FTE Allocations'!$A$5:$I$307,MATCH($A27,'1. FTE Allocations'!$A$5:$A$307,0),MATCH(F$4,'1. FTE Allocations'!$A$5:$I$5,0)),0)</f>
        <v>0</v>
      </c>
      <c r="H27" s="288">
        <v>0</v>
      </c>
      <c r="I27" s="289">
        <v>0</v>
      </c>
      <c r="J27" s="290">
        <v>0</v>
      </c>
      <c r="L27" s="215">
        <f>IFERROR(INDEX('1. FTE Allocations'!$A$5:$I$307,MATCH($A27,'1. FTE Allocations'!$A$5:$A$307,0),MATCH(L$4,'1. FTE Allocations'!$A$5:$I$5,0)),0)</f>
        <v>0</v>
      </c>
      <c r="M27" s="211"/>
      <c r="N27" s="294">
        <f t="shared" si="6"/>
        <v>0</v>
      </c>
      <c r="O27" s="297">
        <f t="shared" si="7"/>
        <v>0</v>
      </c>
      <c r="P27" s="298">
        <f t="shared" si="7"/>
        <v>0</v>
      </c>
      <c r="R27" s="112">
        <f t="shared" si="4"/>
        <v>0</v>
      </c>
      <c r="T27" s="288">
        <v>0</v>
      </c>
      <c r="U27" s="289">
        <v>0</v>
      </c>
      <c r="V27" s="290">
        <v>0</v>
      </c>
    </row>
    <row r="28" spans="1:23" x14ac:dyDescent="0.25">
      <c r="A28" s="35" t="str">
        <f t="shared" si="5"/>
        <v>-C2</v>
      </c>
      <c r="C28" s="174" t="str">
        <f>IF(C27="-","-",IF(C27+1&gt;COUNTA('0. Control Panel'!$C$7:$C$16),"-",'2. Customer Benefit Input'!C27+1))</f>
        <v>-</v>
      </c>
      <c r="D28" s="226" t="str">
        <f>IF(C28="-","-",INDEX('0. Control Panel'!$B$6:$K$16,MATCH('2. Customer Benefit Input'!$C28,'0. Control Panel'!$B$6:$B$16,0),MATCH(D$6,'0. Control Panel'!$B$6:$K$6,0)))</f>
        <v>-</v>
      </c>
      <c r="E28" s="174"/>
      <c r="F28" s="214">
        <f>IFERROR(INDEX('1. FTE Allocations'!$A$5:$I$307,MATCH($A28,'1. FTE Allocations'!$A$5:$A$307,0),MATCH(F$4,'1. FTE Allocations'!$A$5:$I$5,0)),0)</f>
        <v>0</v>
      </c>
      <c r="H28" s="288">
        <v>0</v>
      </c>
      <c r="I28" s="289">
        <v>0</v>
      </c>
      <c r="J28" s="290">
        <v>0</v>
      </c>
      <c r="L28" s="215">
        <f>IFERROR(INDEX('1. FTE Allocations'!$A$5:$I$307,MATCH($A28,'1. FTE Allocations'!$A$5:$A$307,0),MATCH(L$4,'1. FTE Allocations'!$A$5:$I$5,0)),0)</f>
        <v>0</v>
      </c>
      <c r="M28" s="211"/>
      <c r="N28" s="294">
        <f t="shared" si="6"/>
        <v>0</v>
      </c>
      <c r="O28" s="297">
        <f t="shared" si="7"/>
        <v>0</v>
      </c>
      <c r="P28" s="298">
        <f t="shared" si="7"/>
        <v>0</v>
      </c>
      <c r="R28" s="112">
        <f t="shared" si="4"/>
        <v>0</v>
      </c>
      <c r="T28" s="288">
        <v>0</v>
      </c>
      <c r="U28" s="289">
        <v>0</v>
      </c>
      <c r="V28" s="290">
        <v>0</v>
      </c>
    </row>
    <row r="29" spans="1:23" x14ac:dyDescent="0.25">
      <c r="A29" s="35" t="str">
        <f t="shared" si="5"/>
        <v>-C2</v>
      </c>
      <c r="C29" s="175" t="str">
        <f>IF(C28="-","-",IF(C28+1&gt;COUNTA('0. Control Panel'!$C$7:$C$16),"-",'2. Customer Benefit Input'!C28+1))</f>
        <v>-</v>
      </c>
      <c r="D29" s="227" t="str">
        <f>IF(C29="-","-",INDEX('0. Control Panel'!$B$6:$K$16,MATCH('2. Customer Benefit Input'!$C29,'0. Control Panel'!$B$6:$B$16,0),MATCH(D$6,'0. Control Panel'!$B$6:$K$6,0)))</f>
        <v>-</v>
      </c>
      <c r="E29" s="175"/>
      <c r="F29" s="216">
        <f>IFERROR(INDEX('1. FTE Allocations'!$A$5:$I$307,MATCH($A29,'1. FTE Allocations'!$A$5:$A$307,0),MATCH(F$4,'1. FTE Allocations'!$A$5:$I$5,0)),0)</f>
        <v>0</v>
      </c>
      <c r="H29" s="291">
        <v>0</v>
      </c>
      <c r="I29" s="292">
        <v>0</v>
      </c>
      <c r="J29" s="293">
        <v>0</v>
      </c>
      <c r="L29" s="217">
        <f>IFERROR(INDEX('1. FTE Allocations'!$A$5:$I$307,MATCH($A29,'1. FTE Allocations'!$A$5:$A$307,0),MATCH(L$4,'1. FTE Allocations'!$A$5:$I$5,0)),0)</f>
        <v>0</v>
      </c>
      <c r="M29" s="211"/>
      <c r="N29" s="299">
        <f t="shared" si="6"/>
        <v>0</v>
      </c>
      <c r="O29" s="300">
        <f t="shared" si="7"/>
        <v>0</v>
      </c>
      <c r="P29" s="301">
        <f t="shared" si="7"/>
        <v>0</v>
      </c>
      <c r="R29" s="317">
        <f t="shared" si="4"/>
        <v>0</v>
      </c>
      <c r="T29" s="291">
        <v>0</v>
      </c>
      <c r="U29" s="292">
        <v>0</v>
      </c>
      <c r="V29" s="293">
        <v>0</v>
      </c>
    </row>
    <row r="30" spans="1:23" x14ac:dyDescent="0.25">
      <c r="C30" s="51"/>
      <c r="D30" s="314" t="s">
        <v>72</v>
      </c>
      <c r="E30" s="51"/>
      <c r="F30" s="315">
        <f>SUM(F20:F29)</f>
        <v>80.325000000000003</v>
      </c>
      <c r="G30" s="35"/>
      <c r="R30" s="316">
        <f>SUM(R20:R29)</f>
        <v>300000</v>
      </c>
      <c r="W30" s="51"/>
    </row>
    <row r="31" spans="1:23" ht="9.9499999999999993" customHeight="1" x14ac:dyDescent="0.25">
      <c r="C31" s="51"/>
      <c r="D31" s="220"/>
      <c r="E31" s="51"/>
      <c r="F31" s="313"/>
      <c r="G31" s="35"/>
      <c r="R31" s="164"/>
      <c r="S31" s="35"/>
      <c r="T31" s="35"/>
      <c r="U31" s="35"/>
      <c r="V31" s="35"/>
      <c r="W31" s="51"/>
    </row>
    <row r="32" spans="1:23" ht="15.95" customHeight="1" x14ac:dyDescent="0.25">
      <c r="C32" s="187" t="s">
        <v>14</v>
      </c>
      <c r="D32" s="223" t="str">
        <f>IF(INDEX('0. Control Panel'!$B$19:$C$29,MATCH('2. Customer Benefit Input'!$C32,'0. Control Panel'!$B$19:$B$29,0),2)="","n/a",INDEX('0. Control Panel'!$B$19:$C$29,MATCH('2. Customer Benefit Input'!$C32,'0. Control Panel'!$B$19:$B$29,0),2))</f>
        <v>Reduced Sales Cycle Time</v>
      </c>
      <c r="F32" s="218"/>
      <c r="G32" s="35"/>
      <c r="H32" s="35"/>
      <c r="I32" s="35"/>
      <c r="J32" s="35"/>
      <c r="K32" s="35"/>
      <c r="L32" s="35"/>
      <c r="M32" s="35"/>
      <c r="N32" s="35"/>
      <c r="O32" s="35"/>
      <c r="P32" s="35"/>
      <c r="Q32" s="35"/>
      <c r="R32" s="35"/>
      <c r="S32" s="35"/>
      <c r="T32" s="35"/>
      <c r="U32" s="35"/>
      <c r="V32" s="35"/>
    </row>
    <row r="33" spans="1:23" x14ac:dyDescent="0.25">
      <c r="A33" s="35" t="str">
        <f>D33&amp;$C$32</f>
        <v>ITC3</v>
      </c>
      <c r="C33" s="170">
        <f>IF(C30="-","-",IF(C30+1&gt;COUNTA('0. Control Panel'!$C$7:$C$16),"-",'2. Customer Benefit Input'!C30+1))</f>
        <v>1</v>
      </c>
      <c r="D33" s="225" t="str">
        <f>IF(C33="-","-",INDEX('0. Control Panel'!$B$6:$K$16,MATCH('2. Customer Benefit Input'!$C33,'0. Control Panel'!$B$6:$B$16,0),MATCH(D$6,'0. Control Panel'!$B$6:$K$6,0)))</f>
        <v>IT</v>
      </c>
      <c r="E33" s="170"/>
      <c r="F33" s="209">
        <f>IFERROR(INDEX('1. FTE Allocations'!$A$5:$I$307,MATCH($A33,'1. FTE Allocations'!$A$5:$A$307,0),MATCH(F$4,'1. FTE Allocations'!$A$5:$I$5,0)),0)</f>
        <v>22.274999999999999</v>
      </c>
      <c r="H33" s="285">
        <v>-1</v>
      </c>
      <c r="I33" s="286">
        <v>-4</v>
      </c>
      <c r="J33" s="287">
        <v>-7</v>
      </c>
      <c r="L33" s="210">
        <f>IFERROR(INDEX('1. FTE Allocations'!$A$5:$I$307,MATCH($A33,'1. FTE Allocations'!$A$5:$A$307,0),MATCH(L$4,'1. FTE Allocations'!$A$5:$I$5,0)),0)</f>
        <v>1</v>
      </c>
      <c r="M33" s="211"/>
      <c r="N33" s="302">
        <f>$L33</f>
        <v>1</v>
      </c>
      <c r="O33" s="295">
        <f t="shared" ref="O33:P42" si="8">$L33</f>
        <v>1</v>
      </c>
      <c r="P33" s="296">
        <f t="shared" si="8"/>
        <v>1</v>
      </c>
      <c r="R33" s="112">
        <f t="shared" ref="R33:R42" si="9">AVERAGE(T33:V33)</f>
        <v>0</v>
      </c>
      <c r="T33" s="285">
        <v>0</v>
      </c>
      <c r="U33" s="286">
        <v>0</v>
      </c>
      <c r="V33" s="287">
        <v>0</v>
      </c>
    </row>
    <row r="34" spans="1:23" x14ac:dyDescent="0.25">
      <c r="A34" s="35" t="str">
        <f t="shared" ref="A34:A42" si="10">D34&amp;$C$32</f>
        <v>SalesC3</v>
      </c>
      <c r="C34" s="174">
        <f>IF(C33="-","-",IF(C33+1&gt;COUNTA('0. Control Panel'!$C$7:$C$16),"-",'2. Customer Benefit Input'!C33+1))</f>
        <v>2</v>
      </c>
      <c r="D34" s="226" t="str">
        <f>IF(C34="-","-",INDEX('0. Control Panel'!$B$6:$K$16,MATCH('2. Customer Benefit Input'!$C34,'0. Control Panel'!$B$6:$B$16,0),MATCH(D$6,'0. Control Panel'!$B$6:$K$6,0)))</f>
        <v>Sales</v>
      </c>
      <c r="E34" s="174"/>
      <c r="F34" s="214">
        <f>IFERROR(INDEX('1. FTE Allocations'!$A$5:$I$307,MATCH($A34,'1. FTE Allocations'!$A$5:$A$307,0),MATCH(F$4,'1. FTE Allocations'!$A$5:$I$5,0)),0)</f>
        <v>41.85</v>
      </c>
      <c r="H34" s="288">
        <v>-3</v>
      </c>
      <c r="I34" s="289">
        <v>-6</v>
      </c>
      <c r="J34" s="290">
        <v>-10</v>
      </c>
      <c r="L34" s="215">
        <f>IFERROR(INDEX('1. FTE Allocations'!$A$5:$I$307,MATCH($A34,'1. FTE Allocations'!$A$5:$A$307,0),MATCH(L$4,'1. FTE Allocations'!$A$5:$I$5,0)),0)</f>
        <v>1</v>
      </c>
      <c r="M34" s="211"/>
      <c r="N34" s="294">
        <f t="shared" ref="N34:N42" si="11">$L34</f>
        <v>1</v>
      </c>
      <c r="O34" s="297">
        <f t="shared" si="8"/>
        <v>1</v>
      </c>
      <c r="P34" s="298">
        <f t="shared" si="8"/>
        <v>1</v>
      </c>
      <c r="R34" s="112">
        <f t="shared" si="9"/>
        <v>0</v>
      </c>
      <c r="T34" s="288">
        <v>0</v>
      </c>
      <c r="U34" s="289">
        <v>0</v>
      </c>
      <c r="V34" s="290">
        <v>0</v>
      </c>
    </row>
    <row r="35" spans="1:23" x14ac:dyDescent="0.25">
      <c r="A35" s="35" t="str">
        <f t="shared" si="10"/>
        <v>Product AC3</v>
      </c>
      <c r="C35" s="174">
        <f>IF(C34="-","-",IF(C34+1&gt;COUNTA('0. Control Panel'!$C$7:$C$16),"-",'2. Customer Benefit Input'!C34+1))</f>
        <v>3</v>
      </c>
      <c r="D35" s="226" t="str">
        <f>IF(C35="-","-",INDEX('0. Control Panel'!$B$6:$K$16,MATCH('2. Customer Benefit Input'!$C35,'0. Control Panel'!$B$6:$B$16,0),MATCH(D$6,'0. Control Panel'!$B$6:$K$6,0)))</f>
        <v>Product A</v>
      </c>
      <c r="E35" s="174"/>
      <c r="F35" s="214">
        <f>IFERROR(INDEX('1. FTE Allocations'!$A$5:$I$307,MATCH($A35,'1. FTE Allocations'!$A$5:$A$307,0),MATCH(F$4,'1. FTE Allocations'!$A$5:$I$5,0)),0)</f>
        <v>22.950000000000003</v>
      </c>
      <c r="H35" s="288">
        <v>-2</v>
      </c>
      <c r="I35" s="289">
        <v>0</v>
      </c>
      <c r="J35" s="290">
        <v>0</v>
      </c>
      <c r="L35" s="215">
        <f>IFERROR(INDEX('1. FTE Allocations'!$A$5:$I$307,MATCH($A35,'1. FTE Allocations'!$A$5:$A$307,0),MATCH(L$4,'1. FTE Allocations'!$A$5:$I$5,0)),0)</f>
        <v>1</v>
      </c>
      <c r="M35" s="211"/>
      <c r="N35" s="294">
        <f t="shared" si="11"/>
        <v>1</v>
      </c>
      <c r="O35" s="297">
        <f t="shared" si="8"/>
        <v>1</v>
      </c>
      <c r="P35" s="298">
        <f t="shared" si="8"/>
        <v>1</v>
      </c>
      <c r="R35" s="112">
        <f>AVERAGE(T35:V35)</f>
        <v>0</v>
      </c>
      <c r="T35" s="288">
        <v>0</v>
      </c>
      <c r="U35" s="289">
        <v>0</v>
      </c>
      <c r="V35" s="290">
        <v>0</v>
      </c>
    </row>
    <row r="36" spans="1:23" x14ac:dyDescent="0.25">
      <c r="A36" s="35" t="str">
        <f t="shared" si="10"/>
        <v>Product BC3</v>
      </c>
      <c r="C36" s="174">
        <f>IF(C35="-","-",IF(C35+1&gt;COUNTA('0. Control Panel'!$C$7:$C$16),"-",'2. Customer Benefit Input'!C35+1))</f>
        <v>4</v>
      </c>
      <c r="D36" s="226" t="str">
        <f>IF(C36="-","-",INDEX('0. Control Panel'!$B$6:$K$16,MATCH('2. Customer Benefit Input'!$C36,'0. Control Panel'!$B$6:$B$16,0),MATCH(D$6,'0. Control Panel'!$B$6:$K$6,0)))</f>
        <v>Product B</v>
      </c>
      <c r="E36" s="174"/>
      <c r="F36" s="214">
        <f>IFERROR(INDEX('1. FTE Allocations'!$A$5:$I$307,MATCH($A36,'1. FTE Allocations'!$A$5:$A$307,0),MATCH(F$4,'1. FTE Allocations'!$A$5:$I$5,0)),0)</f>
        <v>29.700000000000003</v>
      </c>
      <c r="H36" s="288">
        <v>0</v>
      </c>
      <c r="I36" s="289">
        <v>-4</v>
      </c>
      <c r="J36" s="290">
        <v>0</v>
      </c>
      <c r="L36" s="215">
        <f>IFERROR(INDEX('1. FTE Allocations'!$A$5:$I$307,MATCH($A36,'1. FTE Allocations'!$A$5:$A$307,0),MATCH(L$4,'1. FTE Allocations'!$A$5:$I$5,0)),0)</f>
        <v>1</v>
      </c>
      <c r="M36" s="211"/>
      <c r="N36" s="294">
        <f t="shared" si="11"/>
        <v>1</v>
      </c>
      <c r="O36" s="297">
        <f t="shared" si="8"/>
        <v>1</v>
      </c>
      <c r="P36" s="298">
        <f t="shared" si="8"/>
        <v>1</v>
      </c>
      <c r="R36" s="112">
        <f t="shared" si="9"/>
        <v>0</v>
      </c>
      <c r="T36" s="288">
        <v>0</v>
      </c>
      <c r="U36" s="289">
        <v>0</v>
      </c>
      <c r="V36" s="290">
        <v>0</v>
      </c>
    </row>
    <row r="37" spans="1:23" x14ac:dyDescent="0.25">
      <c r="A37" s="35" t="str">
        <f t="shared" si="10"/>
        <v>R&amp;DC3</v>
      </c>
      <c r="C37" s="174">
        <f>IF(C36="-","-",IF(C36+1&gt;COUNTA('0. Control Panel'!$C$7:$C$16),"-",'2. Customer Benefit Input'!C36+1))</f>
        <v>5</v>
      </c>
      <c r="D37" s="226" t="str">
        <f>IF(C37="-","-",INDEX('0. Control Panel'!$B$6:$K$16,MATCH('2. Customer Benefit Input'!$C37,'0. Control Panel'!$B$6:$B$16,0),MATCH(D$6,'0. Control Panel'!$B$6:$K$6,0)))</f>
        <v>R&amp;D</v>
      </c>
      <c r="E37" s="174"/>
      <c r="F37" s="214">
        <f>IFERROR(INDEX('1. FTE Allocations'!$A$5:$I$307,MATCH($A37,'1. FTE Allocations'!$A$5:$A$307,0),MATCH(F$4,'1. FTE Allocations'!$A$5:$I$5,0)),0)</f>
        <v>0</v>
      </c>
      <c r="H37" s="288">
        <v>0</v>
      </c>
      <c r="I37" s="289">
        <v>0</v>
      </c>
      <c r="J37" s="290">
        <v>0</v>
      </c>
      <c r="L37" s="215">
        <f>IFERROR(INDEX('1. FTE Allocations'!$A$5:$I$307,MATCH($A37,'1. FTE Allocations'!$A$5:$A$307,0),MATCH(L$4,'1. FTE Allocations'!$A$5:$I$5,0)),0)</f>
        <v>0</v>
      </c>
      <c r="M37" s="211"/>
      <c r="N37" s="294">
        <f t="shared" si="11"/>
        <v>0</v>
      </c>
      <c r="O37" s="297">
        <f t="shared" si="8"/>
        <v>0</v>
      </c>
      <c r="P37" s="298">
        <f t="shared" si="8"/>
        <v>0</v>
      </c>
      <c r="R37" s="112">
        <f t="shared" si="9"/>
        <v>0</v>
      </c>
      <c r="T37" s="288">
        <v>0</v>
      </c>
      <c r="U37" s="289">
        <v>0</v>
      </c>
      <c r="V37" s="290">
        <v>0</v>
      </c>
    </row>
    <row r="38" spans="1:23" x14ac:dyDescent="0.25">
      <c r="A38" s="35" t="str">
        <f t="shared" si="10"/>
        <v>HRC3</v>
      </c>
      <c r="C38" s="174">
        <f>IF(C37="-","-",IF(C37+1&gt;COUNTA('0. Control Panel'!$C$7:$C$16),"-",'2. Customer Benefit Input'!C37+1))</f>
        <v>6</v>
      </c>
      <c r="D38" s="226" t="str">
        <f>IF(C38="-","-",INDEX('0. Control Panel'!$B$6:$K$16,MATCH('2. Customer Benefit Input'!$C38,'0. Control Panel'!$B$6:$B$16,0),MATCH(D$6,'0. Control Panel'!$B$6:$K$6,0)))</f>
        <v>HR</v>
      </c>
      <c r="E38" s="174"/>
      <c r="F38" s="214">
        <f>IFERROR(INDEX('1. FTE Allocations'!$A$5:$I$307,MATCH($A38,'1. FTE Allocations'!$A$5:$A$307,0),MATCH(F$4,'1. FTE Allocations'!$A$5:$I$5,0)),0)</f>
        <v>0</v>
      </c>
      <c r="H38" s="288">
        <v>0</v>
      </c>
      <c r="I38" s="289">
        <v>0</v>
      </c>
      <c r="J38" s="290">
        <v>0</v>
      </c>
      <c r="L38" s="215">
        <f>IFERROR(INDEX('1. FTE Allocations'!$A$5:$I$307,MATCH($A38,'1. FTE Allocations'!$A$5:$A$307,0),MATCH(L$4,'1. FTE Allocations'!$A$5:$I$5,0)),0)</f>
        <v>0</v>
      </c>
      <c r="M38" s="211"/>
      <c r="N38" s="294">
        <f t="shared" si="11"/>
        <v>0</v>
      </c>
      <c r="O38" s="297">
        <f t="shared" si="8"/>
        <v>0</v>
      </c>
      <c r="P38" s="298">
        <f t="shared" si="8"/>
        <v>0</v>
      </c>
      <c r="R38" s="112">
        <f t="shared" si="9"/>
        <v>0</v>
      </c>
      <c r="T38" s="288">
        <v>0</v>
      </c>
      <c r="U38" s="289">
        <v>0</v>
      </c>
      <c r="V38" s="290">
        <v>0</v>
      </c>
    </row>
    <row r="39" spans="1:23" x14ac:dyDescent="0.25">
      <c r="A39" s="35" t="str">
        <f t="shared" si="10"/>
        <v>FinanceC3</v>
      </c>
      <c r="C39" s="174">
        <f>IF(C38="-","-",IF(C38+1&gt;COUNTA('0. Control Panel'!$C$7:$C$16),"-",'2. Customer Benefit Input'!C38+1))</f>
        <v>7</v>
      </c>
      <c r="D39" s="226" t="str">
        <f>IF(C39="-","-",INDEX('0. Control Panel'!$B$6:$K$16,MATCH('2. Customer Benefit Input'!$C39,'0. Control Panel'!$B$6:$B$16,0),MATCH(D$6,'0. Control Panel'!$B$6:$K$6,0)))</f>
        <v>Finance</v>
      </c>
      <c r="E39" s="174"/>
      <c r="F39" s="214">
        <f>IFERROR(INDEX('1. FTE Allocations'!$A$5:$I$307,MATCH($A39,'1. FTE Allocations'!$A$5:$A$307,0),MATCH(F$4,'1. FTE Allocations'!$A$5:$I$5,0)),0)</f>
        <v>8.1</v>
      </c>
      <c r="H39" s="288">
        <v>0</v>
      </c>
      <c r="I39" s="289">
        <v>-2</v>
      </c>
      <c r="J39" s="290">
        <v>-3</v>
      </c>
      <c r="L39" s="215">
        <f>IFERROR(INDEX('1. FTE Allocations'!$A$5:$I$307,MATCH($A39,'1. FTE Allocations'!$A$5:$A$307,0),MATCH(L$4,'1. FTE Allocations'!$A$5:$I$5,0)),0)</f>
        <v>0.5</v>
      </c>
      <c r="M39" s="211"/>
      <c r="N39" s="294">
        <v>0.5</v>
      </c>
      <c r="O39" s="297">
        <v>0.5</v>
      </c>
      <c r="P39" s="298">
        <f t="shared" si="8"/>
        <v>0.5</v>
      </c>
      <c r="R39" s="112">
        <f t="shared" si="9"/>
        <v>0</v>
      </c>
      <c r="T39" s="288">
        <v>0</v>
      </c>
      <c r="U39" s="289">
        <v>0</v>
      </c>
      <c r="V39" s="290">
        <v>0</v>
      </c>
    </row>
    <row r="40" spans="1:23" x14ac:dyDescent="0.25">
      <c r="A40" s="35" t="str">
        <f t="shared" si="10"/>
        <v>Head OfficeC3</v>
      </c>
      <c r="C40" s="174">
        <f>IF(C39="-","-",IF(C39+1&gt;COUNTA('0. Control Panel'!$C$7:$C$16),"-",'2. Customer Benefit Input'!C39+1))</f>
        <v>8</v>
      </c>
      <c r="D40" s="226" t="str">
        <f>IF(C40="-","-",INDEX('0. Control Panel'!$B$6:$K$16,MATCH('2. Customer Benefit Input'!$C40,'0. Control Panel'!$B$6:$B$16,0),MATCH(D$6,'0. Control Panel'!$B$6:$K$6,0)))</f>
        <v>Head Office</v>
      </c>
      <c r="E40" s="174"/>
      <c r="F40" s="214">
        <f>IFERROR(INDEX('1. FTE Allocations'!$A$5:$I$307,MATCH($A40,'1. FTE Allocations'!$A$5:$A$307,0),MATCH(F$4,'1. FTE Allocations'!$A$5:$I$5,0)),0)</f>
        <v>0</v>
      </c>
      <c r="H40" s="288">
        <v>0</v>
      </c>
      <c r="I40" s="289">
        <v>0</v>
      </c>
      <c r="J40" s="290">
        <v>0</v>
      </c>
      <c r="L40" s="215">
        <f>IFERROR(INDEX('1. FTE Allocations'!$A$5:$I$307,MATCH($A40,'1. FTE Allocations'!$A$5:$A$307,0),MATCH(L$4,'1. FTE Allocations'!$A$5:$I$5,0)),0)</f>
        <v>0</v>
      </c>
      <c r="M40" s="211"/>
      <c r="N40" s="294">
        <f t="shared" si="11"/>
        <v>0</v>
      </c>
      <c r="O40" s="297">
        <f t="shared" si="8"/>
        <v>0</v>
      </c>
      <c r="P40" s="298">
        <f t="shared" si="8"/>
        <v>0</v>
      </c>
      <c r="R40" s="112">
        <f t="shared" si="9"/>
        <v>0</v>
      </c>
      <c r="T40" s="288">
        <v>0</v>
      </c>
      <c r="U40" s="289">
        <v>0</v>
      </c>
      <c r="V40" s="290">
        <v>0</v>
      </c>
    </row>
    <row r="41" spans="1:23" x14ac:dyDescent="0.25">
      <c r="A41" s="35" t="str">
        <f t="shared" si="10"/>
        <v>-C3</v>
      </c>
      <c r="C41" s="174" t="str">
        <f>IF(C40="-","-",IF(C40+1&gt;COUNTA('0. Control Panel'!$C$7:$C$16),"-",'2. Customer Benefit Input'!C40+1))</f>
        <v>-</v>
      </c>
      <c r="D41" s="226" t="str">
        <f>IF(C41="-","-",INDEX('0. Control Panel'!$B$6:$K$16,MATCH('2. Customer Benefit Input'!$C41,'0. Control Panel'!$B$6:$B$16,0),MATCH(D$6,'0. Control Panel'!$B$6:$K$6,0)))</f>
        <v>-</v>
      </c>
      <c r="E41" s="174"/>
      <c r="F41" s="214">
        <f>IFERROR(INDEX('1. FTE Allocations'!$A$5:$I$307,MATCH($A41,'1. FTE Allocations'!$A$5:$A$307,0),MATCH(F$4,'1. FTE Allocations'!$A$5:$I$5,0)),0)</f>
        <v>0</v>
      </c>
      <c r="H41" s="288">
        <v>0</v>
      </c>
      <c r="I41" s="289">
        <v>0</v>
      </c>
      <c r="J41" s="290">
        <v>0</v>
      </c>
      <c r="L41" s="215">
        <f>IFERROR(INDEX('1. FTE Allocations'!$A$5:$I$307,MATCH($A41,'1. FTE Allocations'!$A$5:$A$307,0),MATCH(L$4,'1. FTE Allocations'!$A$5:$I$5,0)),0)</f>
        <v>0</v>
      </c>
      <c r="M41" s="211"/>
      <c r="N41" s="294">
        <f t="shared" si="11"/>
        <v>0</v>
      </c>
      <c r="O41" s="297">
        <f t="shared" si="8"/>
        <v>0</v>
      </c>
      <c r="P41" s="298">
        <f t="shared" si="8"/>
        <v>0</v>
      </c>
      <c r="R41" s="112">
        <f t="shared" si="9"/>
        <v>0</v>
      </c>
      <c r="T41" s="288">
        <v>0</v>
      </c>
      <c r="U41" s="289">
        <v>0</v>
      </c>
      <c r="V41" s="290">
        <v>0</v>
      </c>
    </row>
    <row r="42" spans="1:23" x14ac:dyDescent="0.25">
      <c r="A42" s="35" t="str">
        <f t="shared" si="10"/>
        <v>-C3</v>
      </c>
      <c r="C42" s="175" t="str">
        <f>IF(C41="-","-",IF(C41+1&gt;COUNTA('0. Control Panel'!$C$7:$C$16),"-",'2. Customer Benefit Input'!C41+1))</f>
        <v>-</v>
      </c>
      <c r="D42" s="227" t="str">
        <f>IF(C42="-","-",INDEX('0. Control Panel'!$B$6:$K$16,MATCH('2. Customer Benefit Input'!$C42,'0. Control Panel'!$B$6:$B$16,0),MATCH(D$6,'0. Control Panel'!$B$6:$K$6,0)))</f>
        <v>-</v>
      </c>
      <c r="E42" s="175"/>
      <c r="F42" s="216">
        <f>IFERROR(INDEX('1. FTE Allocations'!$A$5:$I$307,MATCH($A42,'1. FTE Allocations'!$A$5:$A$307,0),MATCH(F$4,'1. FTE Allocations'!$A$5:$I$5,0)),0)</f>
        <v>0</v>
      </c>
      <c r="H42" s="291">
        <v>0</v>
      </c>
      <c r="I42" s="292">
        <v>0</v>
      </c>
      <c r="J42" s="293">
        <v>0</v>
      </c>
      <c r="L42" s="217">
        <f>IFERROR(INDEX('1. FTE Allocations'!$A$5:$I$307,MATCH($A42,'1. FTE Allocations'!$A$5:$A$307,0),MATCH(L$4,'1. FTE Allocations'!$A$5:$I$5,0)),0)</f>
        <v>0</v>
      </c>
      <c r="M42" s="211"/>
      <c r="N42" s="299">
        <f t="shared" si="11"/>
        <v>0</v>
      </c>
      <c r="O42" s="300">
        <f t="shared" si="8"/>
        <v>0</v>
      </c>
      <c r="P42" s="301">
        <f t="shared" si="8"/>
        <v>0</v>
      </c>
      <c r="R42" s="317">
        <f t="shared" si="9"/>
        <v>0</v>
      </c>
      <c r="T42" s="291">
        <v>0</v>
      </c>
      <c r="U42" s="292">
        <v>0</v>
      </c>
      <c r="V42" s="293">
        <v>0</v>
      </c>
    </row>
    <row r="43" spans="1:23" x14ac:dyDescent="0.25">
      <c r="D43" s="314" t="s">
        <v>72</v>
      </c>
      <c r="F43" s="315">
        <f>SUM(F33:F42)</f>
        <v>124.875</v>
      </c>
      <c r="G43" s="35"/>
      <c r="R43" s="316">
        <f>SUM(R33:R42)</f>
        <v>0</v>
      </c>
      <c r="S43" s="35"/>
      <c r="T43" s="35"/>
      <c r="U43" s="35"/>
      <c r="V43" s="35"/>
    </row>
    <row r="44" spans="1:23" ht="9.9499999999999993" customHeight="1" x14ac:dyDescent="0.25">
      <c r="C44" s="51"/>
      <c r="D44" s="220"/>
      <c r="E44" s="51"/>
      <c r="F44" s="313"/>
      <c r="G44" s="35"/>
      <c r="R44" s="164"/>
      <c r="S44" s="35"/>
      <c r="T44" s="35"/>
      <c r="U44" s="35"/>
      <c r="V44" s="35"/>
      <c r="W44" s="51"/>
    </row>
    <row r="45" spans="1:23" ht="15.95" customHeight="1" x14ac:dyDescent="0.25">
      <c r="C45" s="187" t="s">
        <v>15</v>
      </c>
      <c r="D45" s="223" t="str">
        <f>IF(INDEX('0. Control Panel'!$B$19:$C$29,MATCH('2. Customer Benefit Input'!$C45,'0. Control Panel'!$B$19:$B$29,0),2)="","n/a",INDEX('0. Control Panel'!$B$19:$C$29,MATCH('2. Customer Benefit Input'!$C45,'0. Control Panel'!$B$19:$B$29,0),2))</f>
        <v>Increased Cross-Sell / Up-Sell</v>
      </c>
      <c r="F45" s="218"/>
      <c r="G45" s="35"/>
      <c r="H45" s="35"/>
      <c r="I45" s="35"/>
      <c r="J45" s="35"/>
      <c r="K45" s="35"/>
      <c r="L45" s="35"/>
      <c r="M45" s="35"/>
      <c r="N45" s="35"/>
      <c r="O45" s="35"/>
      <c r="P45" s="35"/>
      <c r="Q45" s="35"/>
      <c r="R45" s="35"/>
      <c r="S45" s="35"/>
      <c r="T45" s="35"/>
      <c r="U45" s="35"/>
      <c r="V45" s="35"/>
    </row>
    <row r="46" spans="1:23" x14ac:dyDescent="0.25">
      <c r="A46" s="35" t="str">
        <f>D46&amp;$C$45</f>
        <v>ITC4</v>
      </c>
      <c r="C46" s="170">
        <f>IF(C43="-","-",IF(C43+1&gt;COUNTA('0. Control Panel'!$C$7:$C$16),"-",'2. Customer Benefit Input'!C43+1))</f>
        <v>1</v>
      </c>
      <c r="D46" s="225" t="str">
        <f>IF(C46="-","-",INDEX('0. Control Panel'!$B$6:$K$16,MATCH('2. Customer Benefit Input'!$C46,'0. Control Panel'!$B$6:$B$16,0),MATCH(D$6,'0. Control Panel'!$B$6:$K$6,0)))</f>
        <v>IT</v>
      </c>
      <c r="E46" s="170"/>
      <c r="F46" s="209">
        <f>IFERROR(INDEX('1. FTE Allocations'!$A$5:$I$307,MATCH($A46,'1. FTE Allocations'!$A$5:$A$307,0),MATCH(F$4,'1. FTE Allocations'!$A$5:$I$5,0)),0)</f>
        <v>0</v>
      </c>
      <c r="H46" s="285">
        <v>0</v>
      </c>
      <c r="I46" s="286">
        <v>0</v>
      </c>
      <c r="J46" s="287">
        <v>0</v>
      </c>
      <c r="L46" s="210">
        <f>IFERROR(INDEX('1. FTE Allocations'!$A$5:$I$307,MATCH($A46,'1. FTE Allocations'!$A$5:$A$307,0),MATCH(L$4,'1. FTE Allocations'!$A$5:$I$5,0)),0)</f>
        <v>0</v>
      </c>
      <c r="M46" s="211"/>
      <c r="N46" s="302">
        <f>$L46</f>
        <v>0</v>
      </c>
      <c r="O46" s="295">
        <f t="shared" ref="O46:P55" si="12">$L46</f>
        <v>0</v>
      </c>
      <c r="P46" s="296">
        <f t="shared" si="12"/>
        <v>0</v>
      </c>
      <c r="R46" s="112">
        <f t="shared" ref="R46:R55" si="13">AVERAGE(T46:V46)</f>
        <v>0</v>
      </c>
      <c r="T46" s="285">
        <v>0</v>
      </c>
      <c r="U46" s="286">
        <v>0</v>
      </c>
      <c r="V46" s="287">
        <v>0</v>
      </c>
    </row>
    <row r="47" spans="1:23" x14ac:dyDescent="0.25">
      <c r="A47" s="35" t="str">
        <f t="shared" ref="A47:A55" si="14">D47&amp;$C$45</f>
        <v>SalesC4</v>
      </c>
      <c r="C47" s="174">
        <f>IF(C46="-","-",IF(C46+1&gt;COUNTA('0. Control Panel'!$C$7:$C$16),"-",'2. Customer Benefit Input'!C46+1))</f>
        <v>2</v>
      </c>
      <c r="D47" s="226" t="str">
        <f>IF(C47="-","-",INDEX('0. Control Panel'!$B$6:$K$16,MATCH('2. Customer Benefit Input'!$C47,'0. Control Panel'!$B$6:$B$16,0),MATCH(D$6,'0. Control Panel'!$B$6:$K$6,0)))</f>
        <v>Sales</v>
      </c>
      <c r="E47" s="174"/>
      <c r="F47" s="214">
        <f>IFERROR(INDEX('1. FTE Allocations'!$A$5:$I$307,MATCH($A47,'1. FTE Allocations'!$A$5:$A$307,0),MATCH(F$4,'1. FTE Allocations'!$A$5:$I$5,0)),0)</f>
        <v>125.55</v>
      </c>
      <c r="H47" s="288">
        <v>0</v>
      </c>
      <c r="I47" s="289">
        <v>-8</v>
      </c>
      <c r="J47" s="290">
        <v>-20</v>
      </c>
      <c r="L47" s="215">
        <f>IFERROR(INDEX('1. FTE Allocations'!$A$5:$I$307,MATCH($A47,'1. FTE Allocations'!$A$5:$A$307,0),MATCH(L$4,'1. FTE Allocations'!$A$5:$I$5,0)),0)</f>
        <v>0.5</v>
      </c>
      <c r="M47" s="211"/>
      <c r="N47" s="294">
        <v>0.5</v>
      </c>
      <c r="O47" s="294">
        <v>0.5</v>
      </c>
      <c r="P47" s="294">
        <v>0.5</v>
      </c>
      <c r="R47" s="112">
        <f t="shared" si="13"/>
        <v>450000</v>
      </c>
      <c r="T47" s="288">
        <v>450000</v>
      </c>
      <c r="U47" s="288">
        <v>450000</v>
      </c>
      <c r="V47" s="288">
        <v>450000</v>
      </c>
    </row>
    <row r="48" spans="1:23" x14ac:dyDescent="0.25">
      <c r="A48" s="35" t="str">
        <f t="shared" si="14"/>
        <v>Product AC4</v>
      </c>
      <c r="C48" s="174">
        <f>IF(C47="-","-",IF(C47+1&gt;COUNTA('0. Control Panel'!$C$7:$C$16),"-",'2. Customer Benefit Input'!C47+1))</f>
        <v>3</v>
      </c>
      <c r="D48" s="226" t="str">
        <f>IF(C48="-","-",INDEX('0. Control Panel'!$B$6:$K$16,MATCH('2. Customer Benefit Input'!$C48,'0. Control Panel'!$B$6:$B$16,0),MATCH(D$6,'0. Control Panel'!$B$6:$K$6,0)))</f>
        <v>Product A</v>
      </c>
      <c r="E48" s="174"/>
      <c r="F48" s="214">
        <f>IFERROR(INDEX('1. FTE Allocations'!$A$5:$I$307,MATCH($A48,'1. FTE Allocations'!$A$5:$A$307,0),MATCH(F$4,'1. FTE Allocations'!$A$5:$I$5,0)),0)</f>
        <v>22.950000000000003</v>
      </c>
      <c r="H48" s="288">
        <v>0</v>
      </c>
      <c r="I48" s="289">
        <v>-1</v>
      </c>
      <c r="J48" s="290">
        <v>-3</v>
      </c>
      <c r="L48" s="215">
        <f>IFERROR(INDEX('1. FTE Allocations'!$A$5:$I$307,MATCH($A48,'1. FTE Allocations'!$A$5:$A$307,0),MATCH(L$4,'1. FTE Allocations'!$A$5:$I$5,0)),0)</f>
        <v>0.3</v>
      </c>
      <c r="M48" s="211"/>
      <c r="N48" s="294">
        <v>0.3</v>
      </c>
      <c r="O48" s="297">
        <f t="shared" si="12"/>
        <v>0.3</v>
      </c>
      <c r="P48" s="298">
        <f t="shared" si="12"/>
        <v>0.3</v>
      </c>
      <c r="R48" s="112">
        <f>AVERAGE(T48:V48)</f>
        <v>0</v>
      </c>
      <c r="T48" s="288">
        <v>0</v>
      </c>
      <c r="U48" s="289">
        <v>0</v>
      </c>
      <c r="V48" s="290">
        <v>0</v>
      </c>
    </row>
    <row r="49" spans="1:23" x14ac:dyDescent="0.25">
      <c r="A49" s="35" t="str">
        <f t="shared" si="14"/>
        <v>Product BC4</v>
      </c>
      <c r="C49" s="174">
        <f>IF(C48="-","-",IF(C48+1&gt;COUNTA('0. Control Panel'!$C$7:$C$16),"-",'2. Customer Benefit Input'!C48+1))</f>
        <v>4</v>
      </c>
      <c r="D49" s="226" t="str">
        <f>IF(C49="-","-",INDEX('0. Control Panel'!$B$6:$K$16,MATCH('2. Customer Benefit Input'!$C49,'0. Control Panel'!$B$6:$B$16,0),MATCH(D$6,'0. Control Panel'!$B$6:$K$6,0)))</f>
        <v>Product B</v>
      </c>
      <c r="E49" s="174"/>
      <c r="F49" s="214">
        <f>IFERROR(INDEX('1. FTE Allocations'!$A$5:$I$307,MATCH($A49,'1. FTE Allocations'!$A$5:$A$307,0),MATCH(F$4,'1. FTE Allocations'!$A$5:$I$5,0)),0)</f>
        <v>89.1</v>
      </c>
      <c r="H49" s="288">
        <v>0</v>
      </c>
      <c r="I49" s="289">
        <v>-3</v>
      </c>
      <c r="J49" s="290">
        <v>-7</v>
      </c>
      <c r="L49" s="215">
        <f>IFERROR(INDEX('1. FTE Allocations'!$A$5:$I$307,MATCH($A49,'1. FTE Allocations'!$A$5:$A$307,0),MATCH(L$4,'1. FTE Allocations'!$A$5:$I$5,0)),0)</f>
        <v>0.5</v>
      </c>
      <c r="M49" s="211"/>
      <c r="N49" s="294">
        <f t="shared" ref="N49:N55" si="15">$L49</f>
        <v>0.5</v>
      </c>
      <c r="O49" s="297">
        <f t="shared" si="12"/>
        <v>0.5</v>
      </c>
      <c r="P49" s="298">
        <f t="shared" si="12"/>
        <v>0.5</v>
      </c>
      <c r="R49" s="112">
        <f t="shared" si="13"/>
        <v>0</v>
      </c>
      <c r="T49" s="288">
        <v>0</v>
      </c>
      <c r="U49" s="289">
        <v>0</v>
      </c>
      <c r="V49" s="290">
        <v>0</v>
      </c>
    </row>
    <row r="50" spans="1:23" x14ac:dyDescent="0.25">
      <c r="A50" s="35" t="str">
        <f t="shared" si="14"/>
        <v>R&amp;DC4</v>
      </c>
      <c r="C50" s="174">
        <f>IF(C49="-","-",IF(C49+1&gt;COUNTA('0. Control Panel'!$C$7:$C$16),"-",'2. Customer Benefit Input'!C49+1))</f>
        <v>5</v>
      </c>
      <c r="D50" s="226" t="str">
        <f>IF(C50="-","-",INDEX('0. Control Panel'!$B$6:$K$16,MATCH('2. Customer Benefit Input'!$C50,'0. Control Panel'!$B$6:$B$16,0),MATCH(D$6,'0. Control Panel'!$B$6:$K$6,0)))</f>
        <v>R&amp;D</v>
      </c>
      <c r="E50" s="174"/>
      <c r="F50" s="214">
        <f>IFERROR(INDEX('1. FTE Allocations'!$A$5:$I$307,MATCH($A50,'1. FTE Allocations'!$A$5:$A$307,0),MATCH(F$4,'1. FTE Allocations'!$A$5:$I$5,0)),0)</f>
        <v>0</v>
      </c>
      <c r="H50" s="288">
        <v>0</v>
      </c>
      <c r="I50" s="289">
        <v>0</v>
      </c>
      <c r="J50" s="290">
        <v>0</v>
      </c>
      <c r="L50" s="215">
        <f>IFERROR(INDEX('1. FTE Allocations'!$A$5:$I$307,MATCH($A50,'1. FTE Allocations'!$A$5:$A$307,0),MATCH(L$4,'1. FTE Allocations'!$A$5:$I$5,0)),0)</f>
        <v>0</v>
      </c>
      <c r="M50" s="211"/>
      <c r="N50" s="294">
        <f t="shared" si="15"/>
        <v>0</v>
      </c>
      <c r="O50" s="297">
        <f t="shared" si="12"/>
        <v>0</v>
      </c>
      <c r="P50" s="298">
        <f t="shared" si="12"/>
        <v>0</v>
      </c>
      <c r="R50" s="112">
        <f t="shared" si="13"/>
        <v>0</v>
      </c>
      <c r="T50" s="288">
        <v>0</v>
      </c>
      <c r="U50" s="289">
        <v>0</v>
      </c>
      <c r="V50" s="290">
        <v>0</v>
      </c>
    </row>
    <row r="51" spans="1:23" x14ac:dyDescent="0.25">
      <c r="A51" s="35" t="str">
        <f t="shared" si="14"/>
        <v>HRC4</v>
      </c>
      <c r="C51" s="174">
        <f>IF(C50="-","-",IF(C50+1&gt;COUNTA('0. Control Panel'!$C$7:$C$16),"-",'2. Customer Benefit Input'!C50+1))</f>
        <v>6</v>
      </c>
      <c r="D51" s="226" t="str">
        <f>IF(C51="-","-",INDEX('0. Control Panel'!$B$6:$K$16,MATCH('2. Customer Benefit Input'!$C51,'0. Control Panel'!$B$6:$B$16,0),MATCH(D$6,'0. Control Panel'!$B$6:$K$6,0)))</f>
        <v>HR</v>
      </c>
      <c r="E51" s="174"/>
      <c r="F51" s="214">
        <f>IFERROR(INDEX('1. FTE Allocations'!$A$5:$I$307,MATCH($A51,'1. FTE Allocations'!$A$5:$A$307,0),MATCH(F$4,'1. FTE Allocations'!$A$5:$I$5,0)),0)</f>
        <v>0</v>
      </c>
      <c r="H51" s="288">
        <v>0</v>
      </c>
      <c r="I51" s="289">
        <v>0</v>
      </c>
      <c r="J51" s="290">
        <v>0</v>
      </c>
      <c r="L51" s="215">
        <f>IFERROR(INDEX('1. FTE Allocations'!$A$5:$I$307,MATCH($A51,'1. FTE Allocations'!$A$5:$A$307,0),MATCH(L$4,'1. FTE Allocations'!$A$5:$I$5,0)),0)</f>
        <v>0</v>
      </c>
      <c r="M51" s="211"/>
      <c r="N51" s="294">
        <f t="shared" si="15"/>
        <v>0</v>
      </c>
      <c r="O51" s="297">
        <f t="shared" si="12"/>
        <v>0</v>
      </c>
      <c r="P51" s="298">
        <f t="shared" si="12"/>
        <v>0</v>
      </c>
      <c r="R51" s="112">
        <f t="shared" si="13"/>
        <v>0</v>
      </c>
      <c r="T51" s="288">
        <v>0</v>
      </c>
      <c r="U51" s="289">
        <v>0</v>
      </c>
      <c r="V51" s="290">
        <v>0</v>
      </c>
    </row>
    <row r="52" spans="1:23" x14ac:dyDescent="0.25">
      <c r="A52" s="35" t="str">
        <f t="shared" si="14"/>
        <v>FinanceC4</v>
      </c>
      <c r="C52" s="174">
        <f>IF(C51="-","-",IF(C51+1&gt;COUNTA('0. Control Panel'!$C$7:$C$16),"-",'2. Customer Benefit Input'!C51+1))</f>
        <v>7</v>
      </c>
      <c r="D52" s="226" t="str">
        <f>IF(C52="-","-",INDEX('0. Control Panel'!$B$6:$K$16,MATCH('2. Customer Benefit Input'!$C52,'0. Control Panel'!$B$6:$B$16,0),MATCH(D$6,'0. Control Panel'!$B$6:$K$6,0)))</f>
        <v>Finance</v>
      </c>
      <c r="E52" s="174"/>
      <c r="F52" s="214">
        <f>IFERROR(INDEX('1. FTE Allocations'!$A$5:$I$307,MATCH($A52,'1. FTE Allocations'!$A$5:$A$307,0),MATCH(F$4,'1. FTE Allocations'!$A$5:$I$5,0)),0)</f>
        <v>0</v>
      </c>
      <c r="H52" s="288">
        <v>0</v>
      </c>
      <c r="I52" s="289">
        <v>0</v>
      </c>
      <c r="J52" s="290">
        <v>0</v>
      </c>
      <c r="L52" s="215">
        <f>IFERROR(INDEX('1. FTE Allocations'!$A$5:$I$307,MATCH($A52,'1. FTE Allocations'!$A$5:$A$307,0),MATCH(L$4,'1. FTE Allocations'!$A$5:$I$5,0)),0)</f>
        <v>0</v>
      </c>
      <c r="M52" s="211"/>
      <c r="N52" s="294">
        <f t="shared" si="15"/>
        <v>0</v>
      </c>
      <c r="O52" s="297">
        <f t="shared" si="12"/>
        <v>0</v>
      </c>
      <c r="P52" s="298">
        <f t="shared" si="12"/>
        <v>0</v>
      </c>
      <c r="R52" s="112">
        <f t="shared" si="13"/>
        <v>0</v>
      </c>
      <c r="T52" s="288">
        <v>0</v>
      </c>
      <c r="U52" s="289">
        <v>0</v>
      </c>
      <c r="V52" s="290">
        <v>0</v>
      </c>
    </row>
    <row r="53" spans="1:23" x14ac:dyDescent="0.25">
      <c r="A53" s="35" t="str">
        <f t="shared" si="14"/>
        <v>Head OfficeC4</v>
      </c>
      <c r="C53" s="174">
        <f>IF(C52="-","-",IF(C52+1&gt;COUNTA('0. Control Panel'!$C$7:$C$16),"-",'2. Customer Benefit Input'!C52+1))</f>
        <v>8</v>
      </c>
      <c r="D53" s="226" t="str">
        <f>IF(C53="-","-",INDEX('0. Control Panel'!$B$6:$K$16,MATCH('2. Customer Benefit Input'!$C53,'0. Control Panel'!$B$6:$B$16,0),MATCH(D$6,'0. Control Panel'!$B$6:$K$6,0)))</f>
        <v>Head Office</v>
      </c>
      <c r="E53" s="174"/>
      <c r="F53" s="214">
        <f>IFERROR(INDEX('1. FTE Allocations'!$A$5:$I$307,MATCH($A53,'1. FTE Allocations'!$A$5:$A$307,0),MATCH(F$4,'1. FTE Allocations'!$A$5:$I$5,0)),0)</f>
        <v>0</v>
      </c>
      <c r="H53" s="288">
        <v>0</v>
      </c>
      <c r="I53" s="289">
        <v>0</v>
      </c>
      <c r="J53" s="290">
        <v>0</v>
      </c>
      <c r="L53" s="215">
        <f>IFERROR(INDEX('1. FTE Allocations'!$A$5:$I$307,MATCH($A53,'1. FTE Allocations'!$A$5:$A$307,0),MATCH(L$4,'1. FTE Allocations'!$A$5:$I$5,0)),0)</f>
        <v>0</v>
      </c>
      <c r="M53" s="211"/>
      <c r="N53" s="294">
        <f t="shared" si="15"/>
        <v>0</v>
      </c>
      <c r="O53" s="297">
        <f t="shared" si="12"/>
        <v>0</v>
      </c>
      <c r="P53" s="298">
        <f t="shared" si="12"/>
        <v>0</v>
      </c>
      <c r="R53" s="112">
        <f t="shared" si="13"/>
        <v>0</v>
      </c>
      <c r="T53" s="288">
        <v>0</v>
      </c>
      <c r="U53" s="289">
        <v>0</v>
      </c>
      <c r="V53" s="290">
        <v>0</v>
      </c>
    </row>
    <row r="54" spans="1:23" x14ac:dyDescent="0.25">
      <c r="A54" s="35" t="str">
        <f t="shared" si="14"/>
        <v>-C4</v>
      </c>
      <c r="C54" s="174" t="str">
        <f>IF(C53="-","-",IF(C53+1&gt;COUNTA('0. Control Panel'!$C$7:$C$16),"-",'2. Customer Benefit Input'!C53+1))</f>
        <v>-</v>
      </c>
      <c r="D54" s="226" t="str">
        <f>IF(C54="-","-",INDEX('0. Control Panel'!$B$6:$K$16,MATCH('2. Customer Benefit Input'!$C54,'0. Control Panel'!$B$6:$B$16,0),MATCH(D$6,'0. Control Panel'!$B$6:$K$6,0)))</f>
        <v>-</v>
      </c>
      <c r="E54" s="174"/>
      <c r="F54" s="214">
        <f>IFERROR(INDEX('1. FTE Allocations'!$A$5:$I$307,MATCH($A54,'1. FTE Allocations'!$A$5:$A$307,0),MATCH(F$4,'1. FTE Allocations'!$A$5:$I$5,0)),0)</f>
        <v>0</v>
      </c>
      <c r="H54" s="288">
        <v>0</v>
      </c>
      <c r="I54" s="289">
        <v>0</v>
      </c>
      <c r="J54" s="290">
        <v>0</v>
      </c>
      <c r="L54" s="215">
        <f>IFERROR(INDEX('1. FTE Allocations'!$A$5:$I$307,MATCH($A54,'1. FTE Allocations'!$A$5:$A$307,0),MATCH(L$4,'1. FTE Allocations'!$A$5:$I$5,0)),0)</f>
        <v>0</v>
      </c>
      <c r="M54" s="211"/>
      <c r="N54" s="294">
        <f t="shared" si="15"/>
        <v>0</v>
      </c>
      <c r="O54" s="297">
        <f t="shared" si="12"/>
        <v>0</v>
      </c>
      <c r="P54" s="298">
        <f t="shared" si="12"/>
        <v>0</v>
      </c>
      <c r="R54" s="112">
        <f t="shared" si="13"/>
        <v>0</v>
      </c>
      <c r="T54" s="288">
        <v>0</v>
      </c>
      <c r="U54" s="289">
        <v>0</v>
      </c>
      <c r="V54" s="290">
        <v>0</v>
      </c>
    </row>
    <row r="55" spans="1:23" x14ac:dyDescent="0.25">
      <c r="A55" s="35" t="str">
        <f t="shared" si="14"/>
        <v>-C4</v>
      </c>
      <c r="C55" s="175" t="str">
        <f>IF(C54="-","-",IF(C54+1&gt;COUNTA('0. Control Panel'!$C$7:$C$16),"-",'2. Customer Benefit Input'!C54+1))</f>
        <v>-</v>
      </c>
      <c r="D55" s="227" t="str">
        <f>IF(C55="-","-",INDEX('0. Control Panel'!$B$6:$K$16,MATCH('2. Customer Benefit Input'!$C55,'0. Control Panel'!$B$6:$B$16,0),MATCH(D$6,'0. Control Panel'!$B$6:$K$6,0)))</f>
        <v>-</v>
      </c>
      <c r="E55" s="175"/>
      <c r="F55" s="216">
        <f>IFERROR(INDEX('1. FTE Allocations'!$A$5:$I$307,MATCH($A55,'1. FTE Allocations'!$A$5:$A$307,0),MATCH(F$4,'1. FTE Allocations'!$A$5:$I$5,0)),0)</f>
        <v>0</v>
      </c>
      <c r="H55" s="291">
        <v>0</v>
      </c>
      <c r="I55" s="292">
        <v>0</v>
      </c>
      <c r="J55" s="293">
        <v>0</v>
      </c>
      <c r="L55" s="217">
        <f>IFERROR(INDEX('1. FTE Allocations'!$A$5:$I$307,MATCH($A55,'1. FTE Allocations'!$A$5:$A$307,0),MATCH(L$4,'1. FTE Allocations'!$A$5:$I$5,0)),0)</f>
        <v>0</v>
      </c>
      <c r="M55" s="211"/>
      <c r="N55" s="299">
        <f t="shared" si="15"/>
        <v>0</v>
      </c>
      <c r="O55" s="300">
        <f t="shared" si="12"/>
        <v>0</v>
      </c>
      <c r="P55" s="301">
        <f t="shared" si="12"/>
        <v>0</v>
      </c>
      <c r="R55" s="317">
        <f t="shared" si="13"/>
        <v>0</v>
      </c>
      <c r="T55" s="291">
        <v>0</v>
      </c>
      <c r="U55" s="292">
        <v>0</v>
      </c>
      <c r="V55" s="293">
        <v>0</v>
      </c>
    </row>
    <row r="56" spans="1:23" x14ac:dyDescent="0.25">
      <c r="C56" s="51"/>
      <c r="D56" s="314" t="s">
        <v>72</v>
      </c>
      <c r="E56" s="51"/>
      <c r="F56" s="315">
        <f>SUM(F46:F55)</f>
        <v>237.6</v>
      </c>
      <c r="G56" s="35"/>
      <c r="R56" s="316">
        <f>SUM(R46:R55)</f>
        <v>450000</v>
      </c>
      <c r="S56" s="35"/>
      <c r="T56" s="35"/>
      <c r="U56" s="35"/>
      <c r="V56" s="35"/>
      <c r="W56" s="51"/>
    </row>
    <row r="57" spans="1:23" ht="9.9499999999999993" customHeight="1" x14ac:dyDescent="0.25">
      <c r="C57" s="51"/>
      <c r="D57" s="220"/>
      <c r="E57" s="51"/>
      <c r="F57" s="313"/>
      <c r="G57" s="35"/>
      <c r="R57" s="164"/>
      <c r="S57" s="35"/>
      <c r="T57" s="35"/>
      <c r="U57" s="35"/>
      <c r="V57" s="35"/>
      <c r="W57" s="51"/>
    </row>
    <row r="58" spans="1:23" ht="15.95" customHeight="1" x14ac:dyDescent="0.25">
      <c r="C58" s="187" t="s">
        <v>16</v>
      </c>
      <c r="D58" s="223" t="str">
        <f>IF(INDEX('0. Control Panel'!$B$19:$C$29,MATCH('2. Customer Benefit Input'!$C58,'0. Control Panel'!$B$19:$B$29,0),2)="","n/a",INDEX('0. Control Panel'!$B$19:$C$29,MATCH('2. Customer Benefit Input'!$C58,'0. Control Panel'!$B$19:$B$29,0),2))</f>
        <v>Improved Marketing Response Rate</v>
      </c>
      <c r="F58" s="218"/>
      <c r="G58" s="35"/>
      <c r="H58" s="35"/>
      <c r="I58" s="35"/>
      <c r="J58" s="35"/>
      <c r="K58" s="35"/>
      <c r="L58" s="35"/>
      <c r="M58" s="35"/>
      <c r="N58" s="35"/>
      <c r="O58" s="35"/>
      <c r="P58" s="35"/>
      <c r="Q58" s="35"/>
      <c r="R58" s="35"/>
      <c r="S58" s="35"/>
      <c r="T58" s="35"/>
      <c r="U58" s="35"/>
      <c r="V58" s="35"/>
    </row>
    <row r="59" spans="1:23" x14ac:dyDescent="0.25">
      <c r="A59" s="35" t="str">
        <f>D59&amp;$C$58</f>
        <v>ITC5</v>
      </c>
      <c r="C59" s="170">
        <f>IF(C56="-","-",IF(C56+1&gt;COUNTA('0. Control Panel'!$C$7:$C$16),"-",'2. Customer Benefit Input'!C56+1))</f>
        <v>1</v>
      </c>
      <c r="D59" s="225" t="str">
        <f>IF(C59="-","-",INDEX('0. Control Panel'!$B$6:$K$16,MATCH('2. Customer Benefit Input'!$C59,'0. Control Panel'!$B$6:$B$16,0),MATCH(D$6,'0. Control Panel'!$B$6:$K$6,0)))</f>
        <v>IT</v>
      </c>
      <c r="E59" s="170"/>
      <c r="F59" s="209">
        <f>IFERROR(INDEX('1. FTE Allocations'!$A$5:$I$307,MATCH($A59,'1. FTE Allocations'!$A$5:$A$307,0),MATCH(F$4,'1. FTE Allocations'!$A$5:$I$5,0)),0)</f>
        <v>0</v>
      </c>
      <c r="H59" s="285">
        <v>0</v>
      </c>
      <c r="I59" s="286">
        <v>0</v>
      </c>
      <c r="J59" s="287">
        <v>0</v>
      </c>
      <c r="L59" s="210">
        <f>IFERROR(INDEX('1. FTE Allocations'!$A$5:$I$307,MATCH($A59,'1. FTE Allocations'!$A$5:$A$307,0),MATCH(L$4,'1. FTE Allocations'!$A$5:$I$5,0)),0)</f>
        <v>0</v>
      </c>
      <c r="M59" s="211"/>
      <c r="N59" s="302">
        <f>$L59</f>
        <v>0</v>
      </c>
      <c r="O59" s="295">
        <f t="shared" ref="O59:P68" si="16">$L59</f>
        <v>0</v>
      </c>
      <c r="P59" s="296">
        <f t="shared" si="16"/>
        <v>0</v>
      </c>
      <c r="R59" s="112">
        <f t="shared" ref="R59:R68" si="17">AVERAGE(T59:V59)</f>
        <v>0</v>
      </c>
      <c r="T59" s="285">
        <v>0</v>
      </c>
      <c r="U59" s="286">
        <v>0</v>
      </c>
      <c r="V59" s="287">
        <v>0</v>
      </c>
    </row>
    <row r="60" spans="1:23" x14ac:dyDescent="0.25">
      <c r="A60" s="35" t="str">
        <f t="shared" ref="A60:A68" si="18">D60&amp;$C$58</f>
        <v>SalesC5</v>
      </c>
      <c r="C60" s="174">
        <f>IF(C59="-","-",IF(C59+1&gt;COUNTA('0. Control Panel'!$C$7:$C$16),"-",'2. Customer Benefit Input'!C59+1))</f>
        <v>2</v>
      </c>
      <c r="D60" s="226" t="str">
        <f>IF(C60="-","-",INDEX('0. Control Panel'!$B$6:$K$16,MATCH('2. Customer Benefit Input'!$C60,'0. Control Panel'!$B$6:$B$16,0),MATCH(D$6,'0. Control Panel'!$B$6:$K$6,0)))</f>
        <v>Sales</v>
      </c>
      <c r="E60" s="174"/>
      <c r="F60" s="214">
        <f>IFERROR(INDEX('1. FTE Allocations'!$A$5:$I$307,MATCH($A60,'1. FTE Allocations'!$A$5:$A$307,0),MATCH(F$4,'1. FTE Allocations'!$A$5:$I$5,0)),0)</f>
        <v>41.85</v>
      </c>
      <c r="H60" s="288">
        <v>-2</v>
      </c>
      <c r="I60" s="288">
        <v>-6</v>
      </c>
      <c r="J60" s="288">
        <v>-11</v>
      </c>
      <c r="L60" s="215">
        <f>IFERROR(INDEX('1. FTE Allocations'!$A$5:$I$307,MATCH($A60,'1. FTE Allocations'!$A$5:$A$307,0),MATCH(L$4,'1. FTE Allocations'!$A$5:$I$5,0)),0)</f>
        <v>0.5</v>
      </c>
      <c r="M60" s="211"/>
      <c r="N60" s="294">
        <f t="shared" ref="N60:N68" si="19">$L60</f>
        <v>0.5</v>
      </c>
      <c r="O60" s="297">
        <v>0.4</v>
      </c>
      <c r="P60" s="298">
        <v>0.3</v>
      </c>
      <c r="R60" s="112">
        <f t="shared" si="17"/>
        <v>150000</v>
      </c>
      <c r="T60" s="288">
        <v>150000</v>
      </c>
      <c r="U60" s="288">
        <v>150000</v>
      </c>
      <c r="V60" s="288">
        <v>150000</v>
      </c>
    </row>
    <row r="61" spans="1:23" x14ac:dyDescent="0.25">
      <c r="A61" s="35" t="str">
        <f t="shared" si="18"/>
        <v>Product AC5</v>
      </c>
      <c r="C61" s="174">
        <f>IF(C60="-","-",IF(C60+1&gt;COUNTA('0. Control Panel'!$C$7:$C$16),"-",'2. Customer Benefit Input'!C60+1))</f>
        <v>3</v>
      </c>
      <c r="D61" s="226" t="str">
        <f>IF(C61="-","-",INDEX('0. Control Panel'!$B$6:$K$16,MATCH('2. Customer Benefit Input'!$C61,'0. Control Panel'!$B$6:$B$16,0),MATCH(D$6,'0. Control Panel'!$B$6:$K$6,0)))</f>
        <v>Product A</v>
      </c>
      <c r="E61" s="174"/>
      <c r="F61" s="214">
        <f>IFERROR(INDEX('1. FTE Allocations'!$A$5:$I$307,MATCH($A61,'1. FTE Allocations'!$A$5:$A$307,0),MATCH(F$4,'1. FTE Allocations'!$A$5:$I$5,0)),0)</f>
        <v>0</v>
      </c>
      <c r="H61" s="288">
        <v>0</v>
      </c>
      <c r="I61" s="289">
        <v>0</v>
      </c>
      <c r="J61" s="290">
        <v>0</v>
      </c>
      <c r="L61" s="215">
        <f>IFERROR(INDEX('1. FTE Allocations'!$A$5:$I$307,MATCH($A61,'1. FTE Allocations'!$A$5:$A$307,0),MATCH(L$4,'1. FTE Allocations'!$A$5:$I$5,0)),0)</f>
        <v>0</v>
      </c>
      <c r="M61" s="211"/>
      <c r="N61" s="294">
        <f t="shared" si="19"/>
        <v>0</v>
      </c>
      <c r="O61" s="297">
        <f t="shared" si="16"/>
        <v>0</v>
      </c>
      <c r="P61" s="298">
        <f t="shared" si="16"/>
        <v>0</v>
      </c>
      <c r="R61" s="112">
        <f>AVERAGE(T61:V61)</f>
        <v>0</v>
      </c>
      <c r="T61" s="288">
        <v>0</v>
      </c>
      <c r="U61" s="289">
        <v>0</v>
      </c>
      <c r="V61" s="290">
        <v>0</v>
      </c>
    </row>
    <row r="62" spans="1:23" x14ac:dyDescent="0.25">
      <c r="A62" s="35" t="str">
        <f t="shared" si="18"/>
        <v>Product BC5</v>
      </c>
      <c r="C62" s="174">
        <f>IF(C61="-","-",IF(C61+1&gt;COUNTA('0. Control Panel'!$C$7:$C$16),"-",'2. Customer Benefit Input'!C61+1))</f>
        <v>4</v>
      </c>
      <c r="D62" s="226" t="str">
        <f>IF(C62="-","-",INDEX('0. Control Panel'!$B$6:$K$16,MATCH('2. Customer Benefit Input'!$C62,'0. Control Panel'!$B$6:$B$16,0),MATCH(D$6,'0. Control Panel'!$B$6:$K$6,0)))</f>
        <v>Product B</v>
      </c>
      <c r="E62" s="174"/>
      <c r="F62" s="214">
        <f>IFERROR(INDEX('1. FTE Allocations'!$A$5:$I$307,MATCH($A62,'1. FTE Allocations'!$A$5:$A$307,0),MATCH(F$4,'1. FTE Allocations'!$A$5:$I$5,0)),0)</f>
        <v>0</v>
      </c>
      <c r="H62" s="288">
        <v>0</v>
      </c>
      <c r="I62" s="289">
        <v>0</v>
      </c>
      <c r="J62" s="290">
        <v>0</v>
      </c>
      <c r="L62" s="215">
        <f>IFERROR(INDEX('1. FTE Allocations'!$A$5:$I$307,MATCH($A62,'1. FTE Allocations'!$A$5:$A$307,0),MATCH(L$4,'1. FTE Allocations'!$A$5:$I$5,0)),0)</f>
        <v>0</v>
      </c>
      <c r="M62" s="211"/>
      <c r="N62" s="294">
        <f t="shared" si="19"/>
        <v>0</v>
      </c>
      <c r="O62" s="297">
        <f t="shared" si="16"/>
        <v>0</v>
      </c>
      <c r="P62" s="298">
        <f t="shared" si="16"/>
        <v>0</v>
      </c>
      <c r="R62" s="112">
        <f t="shared" si="17"/>
        <v>0</v>
      </c>
      <c r="T62" s="288">
        <v>0</v>
      </c>
      <c r="U62" s="289">
        <v>0</v>
      </c>
      <c r="V62" s="290">
        <v>0</v>
      </c>
    </row>
    <row r="63" spans="1:23" x14ac:dyDescent="0.25">
      <c r="A63" s="35" t="str">
        <f t="shared" si="18"/>
        <v>R&amp;DC5</v>
      </c>
      <c r="C63" s="174">
        <f>IF(C62="-","-",IF(C62+1&gt;COUNTA('0. Control Panel'!$C$7:$C$16),"-",'2. Customer Benefit Input'!C62+1))</f>
        <v>5</v>
      </c>
      <c r="D63" s="226" t="str">
        <f>IF(C63="-","-",INDEX('0. Control Panel'!$B$6:$K$16,MATCH('2. Customer Benefit Input'!$C63,'0. Control Panel'!$B$6:$B$16,0),MATCH(D$6,'0. Control Panel'!$B$6:$K$6,0)))</f>
        <v>R&amp;D</v>
      </c>
      <c r="E63" s="174"/>
      <c r="F63" s="214">
        <f>IFERROR(INDEX('1. FTE Allocations'!$A$5:$I$307,MATCH($A63,'1. FTE Allocations'!$A$5:$A$307,0),MATCH(F$4,'1. FTE Allocations'!$A$5:$I$5,0)),0)</f>
        <v>0</v>
      </c>
      <c r="H63" s="288">
        <v>0</v>
      </c>
      <c r="I63" s="289">
        <v>0</v>
      </c>
      <c r="J63" s="290">
        <v>0</v>
      </c>
      <c r="L63" s="215">
        <f>IFERROR(INDEX('1. FTE Allocations'!$A$5:$I$307,MATCH($A63,'1. FTE Allocations'!$A$5:$A$307,0),MATCH(L$4,'1. FTE Allocations'!$A$5:$I$5,0)),0)</f>
        <v>0</v>
      </c>
      <c r="M63" s="211"/>
      <c r="N63" s="294">
        <f t="shared" si="19"/>
        <v>0</v>
      </c>
      <c r="O63" s="297">
        <f t="shared" si="16"/>
        <v>0</v>
      </c>
      <c r="P63" s="298">
        <f t="shared" si="16"/>
        <v>0</v>
      </c>
      <c r="R63" s="112">
        <f t="shared" si="17"/>
        <v>0</v>
      </c>
      <c r="T63" s="288">
        <v>0</v>
      </c>
      <c r="U63" s="289">
        <v>0</v>
      </c>
      <c r="V63" s="290">
        <v>0</v>
      </c>
    </row>
    <row r="64" spans="1:23" x14ac:dyDescent="0.25">
      <c r="A64" s="35" t="str">
        <f t="shared" si="18"/>
        <v>HRC5</v>
      </c>
      <c r="C64" s="174">
        <f>IF(C63="-","-",IF(C63+1&gt;COUNTA('0. Control Panel'!$C$7:$C$16),"-",'2. Customer Benefit Input'!C63+1))</f>
        <v>6</v>
      </c>
      <c r="D64" s="226" t="str">
        <f>IF(C64="-","-",INDEX('0. Control Panel'!$B$6:$K$16,MATCH('2. Customer Benefit Input'!$C64,'0. Control Panel'!$B$6:$B$16,0),MATCH(D$6,'0. Control Panel'!$B$6:$K$6,0)))</f>
        <v>HR</v>
      </c>
      <c r="E64" s="174"/>
      <c r="F64" s="214">
        <f>IFERROR(INDEX('1. FTE Allocations'!$A$5:$I$307,MATCH($A64,'1. FTE Allocations'!$A$5:$A$307,0),MATCH(F$4,'1. FTE Allocations'!$A$5:$I$5,0)),0)</f>
        <v>0</v>
      </c>
      <c r="H64" s="288">
        <v>0</v>
      </c>
      <c r="I64" s="289">
        <v>0</v>
      </c>
      <c r="J64" s="290">
        <v>0</v>
      </c>
      <c r="L64" s="215">
        <f>IFERROR(INDEX('1. FTE Allocations'!$A$5:$I$307,MATCH($A64,'1. FTE Allocations'!$A$5:$A$307,0),MATCH(L$4,'1. FTE Allocations'!$A$5:$I$5,0)),0)</f>
        <v>0</v>
      </c>
      <c r="M64" s="211"/>
      <c r="N64" s="294">
        <f t="shared" si="19"/>
        <v>0</v>
      </c>
      <c r="O64" s="297">
        <f t="shared" si="16"/>
        <v>0</v>
      </c>
      <c r="P64" s="298">
        <f t="shared" si="16"/>
        <v>0</v>
      </c>
      <c r="R64" s="112">
        <f t="shared" si="17"/>
        <v>0</v>
      </c>
      <c r="T64" s="288">
        <v>0</v>
      </c>
      <c r="U64" s="289">
        <v>0</v>
      </c>
      <c r="V64" s="290">
        <v>0</v>
      </c>
    </row>
    <row r="65" spans="1:23" x14ac:dyDescent="0.25">
      <c r="A65" s="35" t="str">
        <f t="shared" si="18"/>
        <v>FinanceC5</v>
      </c>
      <c r="C65" s="174">
        <f>IF(C64="-","-",IF(C64+1&gt;COUNTA('0. Control Panel'!$C$7:$C$16),"-",'2. Customer Benefit Input'!C64+1))</f>
        <v>7</v>
      </c>
      <c r="D65" s="226" t="str">
        <f>IF(C65="-","-",INDEX('0. Control Panel'!$B$6:$K$16,MATCH('2. Customer Benefit Input'!$C65,'0. Control Panel'!$B$6:$B$16,0),MATCH(D$6,'0. Control Panel'!$B$6:$K$6,0)))</f>
        <v>Finance</v>
      </c>
      <c r="E65" s="174"/>
      <c r="F65" s="214">
        <f>IFERROR(INDEX('1. FTE Allocations'!$A$5:$I$307,MATCH($A65,'1. FTE Allocations'!$A$5:$A$307,0),MATCH(F$4,'1. FTE Allocations'!$A$5:$I$5,0)),0)</f>
        <v>0</v>
      </c>
      <c r="H65" s="288">
        <v>0</v>
      </c>
      <c r="I65" s="289">
        <v>0</v>
      </c>
      <c r="J65" s="290">
        <v>0</v>
      </c>
      <c r="L65" s="215">
        <f>IFERROR(INDEX('1. FTE Allocations'!$A$5:$I$307,MATCH($A65,'1. FTE Allocations'!$A$5:$A$307,0),MATCH(L$4,'1. FTE Allocations'!$A$5:$I$5,0)),0)</f>
        <v>0</v>
      </c>
      <c r="M65" s="211"/>
      <c r="N65" s="294">
        <f t="shared" si="19"/>
        <v>0</v>
      </c>
      <c r="O65" s="297">
        <f t="shared" si="16"/>
        <v>0</v>
      </c>
      <c r="P65" s="298">
        <f t="shared" si="16"/>
        <v>0</v>
      </c>
      <c r="R65" s="112">
        <f t="shared" si="17"/>
        <v>0</v>
      </c>
      <c r="T65" s="288">
        <v>0</v>
      </c>
      <c r="U65" s="289">
        <v>0</v>
      </c>
      <c r="V65" s="290">
        <v>0</v>
      </c>
    </row>
    <row r="66" spans="1:23" x14ac:dyDescent="0.25">
      <c r="A66" s="35" t="str">
        <f t="shared" si="18"/>
        <v>Head OfficeC5</v>
      </c>
      <c r="C66" s="174">
        <f>IF(C65="-","-",IF(C65+1&gt;COUNTA('0. Control Panel'!$C$7:$C$16),"-",'2. Customer Benefit Input'!C65+1))</f>
        <v>8</v>
      </c>
      <c r="D66" s="226" t="str">
        <f>IF(C66="-","-",INDEX('0. Control Panel'!$B$6:$K$16,MATCH('2. Customer Benefit Input'!$C66,'0. Control Panel'!$B$6:$B$16,0),MATCH(D$6,'0. Control Panel'!$B$6:$K$6,0)))</f>
        <v>Head Office</v>
      </c>
      <c r="E66" s="174"/>
      <c r="F66" s="214">
        <f>IFERROR(INDEX('1. FTE Allocations'!$A$5:$I$307,MATCH($A66,'1. FTE Allocations'!$A$5:$A$307,0),MATCH(F$4,'1. FTE Allocations'!$A$5:$I$5,0)),0)</f>
        <v>0</v>
      </c>
      <c r="H66" s="288">
        <v>0</v>
      </c>
      <c r="I66" s="289">
        <v>0</v>
      </c>
      <c r="J66" s="290">
        <v>0</v>
      </c>
      <c r="L66" s="215">
        <f>IFERROR(INDEX('1. FTE Allocations'!$A$5:$I$307,MATCH($A66,'1. FTE Allocations'!$A$5:$A$307,0),MATCH(L$4,'1. FTE Allocations'!$A$5:$I$5,0)),0)</f>
        <v>0</v>
      </c>
      <c r="M66" s="211"/>
      <c r="N66" s="294">
        <f t="shared" si="19"/>
        <v>0</v>
      </c>
      <c r="O66" s="297">
        <f t="shared" si="16"/>
        <v>0</v>
      </c>
      <c r="P66" s="298">
        <f t="shared" si="16"/>
        <v>0</v>
      </c>
      <c r="R66" s="112">
        <f t="shared" si="17"/>
        <v>0</v>
      </c>
      <c r="T66" s="288">
        <v>0</v>
      </c>
      <c r="U66" s="289">
        <v>0</v>
      </c>
      <c r="V66" s="290">
        <v>0</v>
      </c>
    </row>
    <row r="67" spans="1:23" x14ac:dyDescent="0.25">
      <c r="A67" s="35" t="str">
        <f t="shared" si="18"/>
        <v>-C5</v>
      </c>
      <c r="C67" s="174" t="str">
        <f>IF(C66="-","-",IF(C66+1&gt;COUNTA('0. Control Panel'!$C$7:$C$16),"-",'2. Customer Benefit Input'!C66+1))</f>
        <v>-</v>
      </c>
      <c r="D67" s="226" t="str">
        <f>IF(C67="-","-",INDEX('0. Control Panel'!$B$6:$K$16,MATCH('2. Customer Benefit Input'!$C67,'0. Control Panel'!$B$6:$B$16,0),MATCH(D$6,'0. Control Panel'!$B$6:$K$6,0)))</f>
        <v>-</v>
      </c>
      <c r="E67" s="174"/>
      <c r="F67" s="214">
        <f>IFERROR(INDEX('1. FTE Allocations'!$A$5:$I$307,MATCH($A67,'1. FTE Allocations'!$A$5:$A$307,0),MATCH(F$4,'1. FTE Allocations'!$A$5:$I$5,0)),0)</f>
        <v>0</v>
      </c>
      <c r="H67" s="288">
        <v>0</v>
      </c>
      <c r="I67" s="289">
        <v>0</v>
      </c>
      <c r="J67" s="290">
        <v>0</v>
      </c>
      <c r="L67" s="215">
        <f>IFERROR(INDEX('1. FTE Allocations'!$A$5:$I$307,MATCH($A67,'1. FTE Allocations'!$A$5:$A$307,0),MATCH(L$4,'1. FTE Allocations'!$A$5:$I$5,0)),0)</f>
        <v>0</v>
      </c>
      <c r="M67" s="211"/>
      <c r="N67" s="294">
        <f t="shared" si="19"/>
        <v>0</v>
      </c>
      <c r="O67" s="297">
        <f t="shared" si="16"/>
        <v>0</v>
      </c>
      <c r="P67" s="298">
        <f t="shared" si="16"/>
        <v>0</v>
      </c>
      <c r="R67" s="112">
        <f t="shared" si="17"/>
        <v>0</v>
      </c>
      <c r="T67" s="288">
        <v>0</v>
      </c>
      <c r="U67" s="289">
        <v>0</v>
      </c>
      <c r="V67" s="290">
        <v>0</v>
      </c>
    </row>
    <row r="68" spans="1:23" x14ac:dyDescent="0.25">
      <c r="A68" s="35" t="str">
        <f t="shared" si="18"/>
        <v>-C5</v>
      </c>
      <c r="C68" s="175" t="str">
        <f>IF(C67="-","-",IF(C67+1&gt;COUNTA('0. Control Panel'!$C$7:$C$16),"-",'2. Customer Benefit Input'!C67+1))</f>
        <v>-</v>
      </c>
      <c r="D68" s="227" t="str">
        <f>IF(C68="-","-",INDEX('0. Control Panel'!$B$6:$K$16,MATCH('2. Customer Benefit Input'!$C68,'0. Control Panel'!$B$6:$B$16,0),MATCH(D$6,'0. Control Panel'!$B$6:$K$6,0)))</f>
        <v>-</v>
      </c>
      <c r="E68" s="175"/>
      <c r="F68" s="216">
        <f>IFERROR(INDEX('1. FTE Allocations'!$A$5:$I$307,MATCH($A68,'1. FTE Allocations'!$A$5:$A$307,0),MATCH(F$4,'1. FTE Allocations'!$A$5:$I$5,0)),0)</f>
        <v>0</v>
      </c>
      <c r="H68" s="291">
        <v>0</v>
      </c>
      <c r="I68" s="292">
        <v>0</v>
      </c>
      <c r="J68" s="293">
        <v>0</v>
      </c>
      <c r="L68" s="217">
        <f>IFERROR(INDEX('1. FTE Allocations'!$A$5:$I$307,MATCH($A68,'1. FTE Allocations'!$A$5:$A$307,0),MATCH(L$4,'1. FTE Allocations'!$A$5:$I$5,0)),0)</f>
        <v>0</v>
      </c>
      <c r="M68" s="211"/>
      <c r="N68" s="299">
        <f t="shared" si="19"/>
        <v>0</v>
      </c>
      <c r="O68" s="300">
        <f t="shared" si="16"/>
        <v>0</v>
      </c>
      <c r="P68" s="301">
        <f t="shared" si="16"/>
        <v>0</v>
      </c>
      <c r="R68" s="317">
        <f t="shared" si="17"/>
        <v>0</v>
      </c>
      <c r="T68" s="291">
        <v>0</v>
      </c>
      <c r="U68" s="292">
        <v>0</v>
      </c>
      <c r="V68" s="293">
        <v>0</v>
      </c>
    </row>
    <row r="69" spans="1:23" x14ac:dyDescent="0.25">
      <c r="C69" s="51"/>
      <c r="D69" s="314" t="s">
        <v>72</v>
      </c>
      <c r="E69" s="51"/>
      <c r="F69" s="315">
        <f>SUM(F59:F68)</f>
        <v>41.85</v>
      </c>
      <c r="G69" s="35"/>
      <c r="R69" s="316">
        <f>SUM(R59:R68)</f>
        <v>150000</v>
      </c>
      <c r="S69" s="35"/>
      <c r="T69" s="35"/>
      <c r="U69" s="35"/>
      <c r="V69" s="35"/>
      <c r="W69" s="51"/>
    </row>
    <row r="70" spans="1:23" ht="9.9499999999999993" customHeight="1" x14ac:dyDescent="0.25">
      <c r="C70" s="51"/>
      <c r="D70" s="220"/>
      <c r="E70" s="51"/>
      <c r="F70" s="313"/>
      <c r="G70" s="35"/>
      <c r="R70" s="164"/>
      <c r="S70" s="35"/>
      <c r="T70" s="35"/>
      <c r="U70" s="35"/>
      <c r="V70" s="35"/>
      <c r="W70" s="51"/>
    </row>
    <row r="71" spans="1:23" ht="15.95" customHeight="1" x14ac:dyDescent="0.25">
      <c r="C71" s="187" t="s">
        <v>17</v>
      </c>
      <c r="D71" s="223" t="str">
        <f>IF(INDEX('0. Control Panel'!$B$19:$C$29,MATCH('2. Customer Benefit Input'!$C71,'0. Control Panel'!$B$19:$B$29,0),2)="","n/a",INDEX('0. Control Panel'!$B$19:$C$29,MATCH('2. Customer Benefit Input'!$C71,'0. Control Panel'!$B$19:$B$29,0),2))</f>
        <v>Call Center Efficiency</v>
      </c>
      <c r="F71" s="218"/>
      <c r="G71" s="35"/>
      <c r="H71" s="35"/>
      <c r="I71" s="35"/>
      <c r="J71" s="35"/>
      <c r="K71" s="35"/>
      <c r="L71" s="35"/>
      <c r="M71" s="35"/>
      <c r="N71" s="35"/>
      <c r="O71" s="35"/>
      <c r="P71" s="35"/>
      <c r="Q71" s="35"/>
      <c r="R71" s="35"/>
      <c r="S71" s="35"/>
      <c r="T71" s="35"/>
      <c r="U71" s="35"/>
      <c r="V71" s="35"/>
    </row>
    <row r="72" spans="1:23" x14ac:dyDescent="0.25">
      <c r="A72" s="35" t="str">
        <f>D72&amp;$C$71</f>
        <v>ITC6</v>
      </c>
      <c r="C72" s="170">
        <f>IF(C69="-","-",IF(C69+1&gt;COUNTA('0. Control Panel'!$C$7:$C$16),"-",'2. Customer Benefit Input'!C69+1))</f>
        <v>1</v>
      </c>
      <c r="D72" s="225" t="str">
        <f>IF(C72="-","-",INDEX('0. Control Panel'!$B$6:$K$16,MATCH('2. Customer Benefit Input'!$C72,'0. Control Panel'!$B$6:$B$16,0),MATCH(D$6,'0. Control Panel'!$B$6:$K$6,0)))</f>
        <v>IT</v>
      </c>
      <c r="E72" s="170"/>
      <c r="F72" s="209">
        <f>IFERROR(INDEX('1. FTE Allocations'!$A$5:$I$307,MATCH($A72,'1. FTE Allocations'!$A$5:$A$307,0),MATCH(F$4,'1. FTE Allocations'!$A$5:$I$5,0)),0)</f>
        <v>0</v>
      </c>
      <c r="H72" s="285">
        <v>0</v>
      </c>
      <c r="I72" s="286">
        <v>0</v>
      </c>
      <c r="J72" s="287">
        <v>0</v>
      </c>
      <c r="L72" s="210">
        <f>IFERROR(INDEX('1. FTE Allocations'!$A$5:$I$307,MATCH($A72,'1. FTE Allocations'!$A$5:$A$307,0),MATCH(L$4,'1. FTE Allocations'!$A$5:$I$5,0)),0)</f>
        <v>0</v>
      </c>
      <c r="M72" s="211"/>
      <c r="N72" s="302">
        <f>$L72</f>
        <v>0</v>
      </c>
      <c r="O72" s="295">
        <f t="shared" ref="O72:P81" si="20">$L72</f>
        <v>0</v>
      </c>
      <c r="P72" s="296">
        <f t="shared" si="20"/>
        <v>0</v>
      </c>
      <c r="R72" s="112">
        <f t="shared" ref="R72:R81" si="21">AVERAGE(T72:V72)</f>
        <v>0</v>
      </c>
      <c r="T72" s="285">
        <v>0</v>
      </c>
      <c r="U72" s="286">
        <v>0</v>
      </c>
      <c r="V72" s="287">
        <v>0</v>
      </c>
    </row>
    <row r="73" spans="1:23" x14ac:dyDescent="0.25">
      <c r="A73" s="35" t="str">
        <f t="shared" ref="A73:A81" si="22">D73&amp;$C$71</f>
        <v>SalesC6</v>
      </c>
      <c r="C73" s="174">
        <f>IF(C72="-","-",IF(C72+1&gt;COUNTA('0. Control Panel'!$C$7:$C$16),"-",'2. Customer Benefit Input'!C72+1))</f>
        <v>2</v>
      </c>
      <c r="D73" s="226" t="str">
        <f>IF(C73="-","-",INDEX('0. Control Panel'!$B$6:$K$16,MATCH('2. Customer Benefit Input'!$C73,'0. Control Panel'!$B$6:$B$16,0),MATCH(D$6,'0. Control Panel'!$B$6:$K$6,0)))</f>
        <v>Sales</v>
      </c>
      <c r="E73" s="174"/>
      <c r="F73" s="214">
        <f>IFERROR(INDEX('1. FTE Allocations'!$A$5:$I$307,MATCH($A73,'1. FTE Allocations'!$A$5:$A$307,0),MATCH(F$4,'1. FTE Allocations'!$A$5:$I$5,0)),0)</f>
        <v>0</v>
      </c>
      <c r="H73" s="288">
        <v>0</v>
      </c>
      <c r="I73" s="289">
        <v>0</v>
      </c>
      <c r="J73" s="290">
        <v>0</v>
      </c>
      <c r="L73" s="215">
        <f>IFERROR(INDEX('1. FTE Allocations'!$A$5:$I$307,MATCH($A73,'1. FTE Allocations'!$A$5:$A$307,0),MATCH(L$4,'1. FTE Allocations'!$A$5:$I$5,0)),0)</f>
        <v>0</v>
      </c>
      <c r="M73" s="211"/>
      <c r="N73" s="294">
        <f t="shared" ref="N73:N81" si="23">$L73</f>
        <v>0</v>
      </c>
      <c r="O73" s="297">
        <f t="shared" si="20"/>
        <v>0</v>
      </c>
      <c r="P73" s="298">
        <f t="shared" si="20"/>
        <v>0</v>
      </c>
      <c r="R73" s="112">
        <f t="shared" si="21"/>
        <v>0</v>
      </c>
      <c r="T73" s="288">
        <v>0</v>
      </c>
      <c r="U73" s="289">
        <v>0</v>
      </c>
      <c r="V73" s="290">
        <v>0</v>
      </c>
    </row>
    <row r="74" spans="1:23" x14ac:dyDescent="0.25">
      <c r="A74" s="35" t="str">
        <f t="shared" si="22"/>
        <v>Product AC6</v>
      </c>
      <c r="C74" s="174">
        <f>IF(C73="-","-",IF(C73+1&gt;COUNTA('0. Control Panel'!$C$7:$C$16),"-",'2. Customer Benefit Input'!C73+1))</f>
        <v>3</v>
      </c>
      <c r="D74" s="226" t="str">
        <f>IF(C74="-","-",INDEX('0. Control Panel'!$B$6:$K$16,MATCH('2. Customer Benefit Input'!$C74,'0. Control Panel'!$B$6:$B$16,0),MATCH(D$6,'0. Control Panel'!$B$6:$K$6,0)))</f>
        <v>Product A</v>
      </c>
      <c r="E74" s="174"/>
      <c r="F74" s="214">
        <f>IFERROR(INDEX('1. FTE Allocations'!$A$5:$I$307,MATCH($A74,'1. FTE Allocations'!$A$5:$A$307,0),MATCH(F$4,'1. FTE Allocations'!$A$5:$I$5,0)),0)</f>
        <v>0</v>
      </c>
      <c r="H74" s="288">
        <v>0</v>
      </c>
      <c r="I74" s="289">
        <v>0</v>
      </c>
      <c r="J74" s="290">
        <v>0</v>
      </c>
      <c r="L74" s="215">
        <f>IFERROR(INDEX('1. FTE Allocations'!$A$5:$I$307,MATCH($A74,'1. FTE Allocations'!$A$5:$A$307,0),MATCH(L$4,'1. FTE Allocations'!$A$5:$I$5,0)),0)</f>
        <v>0</v>
      </c>
      <c r="M74" s="211"/>
      <c r="N74" s="294">
        <f t="shared" si="23"/>
        <v>0</v>
      </c>
      <c r="O74" s="297">
        <f t="shared" si="20"/>
        <v>0</v>
      </c>
      <c r="P74" s="298">
        <f t="shared" si="20"/>
        <v>0</v>
      </c>
      <c r="R74" s="112">
        <f>AVERAGE(T74:V74)</f>
        <v>0</v>
      </c>
      <c r="T74" s="288">
        <v>0</v>
      </c>
      <c r="U74" s="289">
        <v>0</v>
      </c>
      <c r="V74" s="290">
        <v>0</v>
      </c>
    </row>
    <row r="75" spans="1:23" x14ac:dyDescent="0.25">
      <c r="A75" s="35" t="str">
        <f t="shared" si="22"/>
        <v>Product BC6</v>
      </c>
      <c r="C75" s="174">
        <f>IF(C74="-","-",IF(C74+1&gt;COUNTA('0. Control Panel'!$C$7:$C$16),"-",'2. Customer Benefit Input'!C74+1))</f>
        <v>4</v>
      </c>
      <c r="D75" s="226" t="str">
        <f>IF(C75="-","-",INDEX('0. Control Panel'!$B$6:$K$16,MATCH('2. Customer Benefit Input'!$C75,'0. Control Panel'!$B$6:$B$16,0),MATCH(D$6,'0. Control Panel'!$B$6:$K$6,0)))</f>
        <v>Product B</v>
      </c>
      <c r="E75" s="174"/>
      <c r="F75" s="214">
        <f>IFERROR(INDEX('1. FTE Allocations'!$A$5:$I$307,MATCH($A75,'1. FTE Allocations'!$A$5:$A$307,0),MATCH(F$4,'1. FTE Allocations'!$A$5:$I$5,0)),0)</f>
        <v>0</v>
      </c>
      <c r="H75" s="288">
        <v>0</v>
      </c>
      <c r="I75" s="289">
        <v>0</v>
      </c>
      <c r="J75" s="290">
        <v>0</v>
      </c>
      <c r="L75" s="215">
        <f>IFERROR(INDEX('1. FTE Allocations'!$A$5:$I$307,MATCH($A75,'1. FTE Allocations'!$A$5:$A$307,0),MATCH(L$4,'1. FTE Allocations'!$A$5:$I$5,0)),0)</f>
        <v>0</v>
      </c>
      <c r="M75" s="211"/>
      <c r="N75" s="294">
        <f t="shared" si="23"/>
        <v>0</v>
      </c>
      <c r="O75" s="297">
        <f t="shared" si="20"/>
        <v>0</v>
      </c>
      <c r="P75" s="298">
        <f t="shared" si="20"/>
        <v>0</v>
      </c>
      <c r="R75" s="112">
        <f t="shared" si="21"/>
        <v>0</v>
      </c>
      <c r="T75" s="288">
        <v>0</v>
      </c>
      <c r="U75" s="289">
        <v>0</v>
      </c>
      <c r="V75" s="290">
        <v>0</v>
      </c>
    </row>
    <row r="76" spans="1:23" x14ac:dyDescent="0.25">
      <c r="A76" s="35" t="str">
        <f t="shared" si="22"/>
        <v>R&amp;DC6</v>
      </c>
      <c r="C76" s="174">
        <f>IF(C75="-","-",IF(C75+1&gt;COUNTA('0. Control Panel'!$C$7:$C$16),"-",'2. Customer Benefit Input'!C75+1))</f>
        <v>5</v>
      </c>
      <c r="D76" s="226" t="str">
        <f>IF(C76="-","-",INDEX('0. Control Panel'!$B$6:$K$16,MATCH('2. Customer Benefit Input'!$C76,'0. Control Panel'!$B$6:$B$16,0),MATCH(D$6,'0. Control Panel'!$B$6:$K$6,0)))</f>
        <v>R&amp;D</v>
      </c>
      <c r="E76" s="174"/>
      <c r="F76" s="214">
        <f>IFERROR(INDEX('1. FTE Allocations'!$A$5:$I$307,MATCH($A76,'1. FTE Allocations'!$A$5:$A$307,0),MATCH(F$4,'1. FTE Allocations'!$A$5:$I$5,0)),0)</f>
        <v>2.0249999999999999</v>
      </c>
      <c r="H76" s="288">
        <v>-1</v>
      </c>
      <c r="I76" s="288">
        <v>-1</v>
      </c>
      <c r="J76" s="288">
        <v>-1</v>
      </c>
      <c r="L76" s="215">
        <f>IFERROR(INDEX('1. FTE Allocations'!$A$5:$I$307,MATCH($A76,'1. FTE Allocations'!$A$5:$A$307,0),MATCH(L$4,'1. FTE Allocations'!$A$5:$I$5,0)),0)</f>
        <v>0.5</v>
      </c>
      <c r="M76" s="211"/>
      <c r="N76" s="294">
        <f t="shared" si="23"/>
        <v>0.5</v>
      </c>
      <c r="O76" s="297">
        <v>0.4</v>
      </c>
      <c r="P76" s="298">
        <v>0.3</v>
      </c>
      <c r="R76" s="112">
        <f t="shared" si="21"/>
        <v>0</v>
      </c>
      <c r="T76" s="288">
        <v>0</v>
      </c>
      <c r="U76" s="289">
        <v>0</v>
      </c>
      <c r="V76" s="290">
        <v>0</v>
      </c>
    </row>
    <row r="77" spans="1:23" x14ac:dyDescent="0.25">
      <c r="A77" s="35" t="str">
        <f t="shared" si="22"/>
        <v>HRC6</v>
      </c>
      <c r="C77" s="174">
        <f>IF(C76="-","-",IF(C76+1&gt;COUNTA('0. Control Panel'!$C$7:$C$16),"-",'2. Customer Benefit Input'!C76+1))</f>
        <v>6</v>
      </c>
      <c r="D77" s="226" t="str">
        <f>IF(C77="-","-",INDEX('0. Control Panel'!$B$6:$K$16,MATCH('2. Customer Benefit Input'!$C77,'0. Control Panel'!$B$6:$B$16,0),MATCH(D$6,'0. Control Panel'!$B$6:$K$6,0)))</f>
        <v>HR</v>
      </c>
      <c r="E77" s="174"/>
      <c r="F77" s="214">
        <f>IFERROR(INDEX('1. FTE Allocations'!$A$5:$I$307,MATCH($A77,'1. FTE Allocations'!$A$5:$A$307,0),MATCH(F$4,'1. FTE Allocations'!$A$5:$I$5,0)),0)</f>
        <v>0</v>
      </c>
      <c r="H77" s="288">
        <v>0</v>
      </c>
      <c r="I77" s="289">
        <v>0</v>
      </c>
      <c r="J77" s="290">
        <v>0</v>
      </c>
      <c r="L77" s="215">
        <f>IFERROR(INDEX('1. FTE Allocations'!$A$5:$I$307,MATCH($A77,'1. FTE Allocations'!$A$5:$A$307,0),MATCH(L$4,'1. FTE Allocations'!$A$5:$I$5,0)),0)</f>
        <v>0</v>
      </c>
      <c r="M77" s="211"/>
      <c r="N77" s="294">
        <f t="shared" si="23"/>
        <v>0</v>
      </c>
      <c r="O77" s="297">
        <f t="shared" si="20"/>
        <v>0</v>
      </c>
      <c r="P77" s="298">
        <f t="shared" si="20"/>
        <v>0</v>
      </c>
      <c r="R77" s="112">
        <f t="shared" si="21"/>
        <v>0</v>
      </c>
      <c r="T77" s="288">
        <v>0</v>
      </c>
      <c r="U77" s="289">
        <v>0</v>
      </c>
      <c r="V77" s="290">
        <v>0</v>
      </c>
    </row>
    <row r="78" spans="1:23" x14ac:dyDescent="0.25">
      <c r="A78" s="35" t="str">
        <f t="shared" si="22"/>
        <v>FinanceC6</v>
      </c>
      <c r="C78" s="174">
        <f>IF(C77="-","-",IF(C77+1&gt;COUNTA('0. Control Panel'!$C$7:$C$16),"-",'2. Customer Benefit Input'!C77+1))</f>
        <v>7</v>
      </c>
      <c r="D78" s="226" t="str">
        <f>IF(C78="-","-",INDEX('0. Control Panel'!$B$6:$K$16,MATCH('2. Customer Benefit Input'!$C78,'0. Control Panel'!$B$6:$B$16,0),MATCH(D$6,'0. Control Panel'!$B$6:$K$6,0)))</f>
        <v>Finance</v>
      </c>
      <c r="E78" s="174"/>
      <c r="F78" s="214">
        <f>IFERROR(INDEX('1. FTE Allocations'!$A$5:$I$307,MATCH($A78,'1. FTE Allocations'!$A$5:$A$307,0),MATCH(F$4,'1. FTE Allocations'!$A$5:$I$5,0)),0)</f>
        <v>0</v>
      </c>
      <c r="H78" s="288">
        <v>0</v>
      </c>
      <c r="I78" s="289">
        <v>0</v>
      </c>
      <c r="J78" s="290">
        <v>0</v>
      </c>
      <c r="L78" s="215">
        <f>IFERROR(INDEX('1. FTE Allocations'!$A$5:$I$307,MATCH($A78,'1. FTE Allocations'!$A$5:$A$307,0),MATCH(L$4,'1. FTE Allocations'!$A$5:$I$5,0)),0)</f>
        <v>0</v>
      </c>
      <c r="M78" s="211"/>
      <c r="N78" s="294">
        <f t="shared" si="23"/>
        <v>0</v>
      </c>
      <c r="O78" s="297">
        <f t="shared" si="20"/>
        <v>0</v>
      </c>
      <c r="P78" s="298">
        <f t="shared" si="20"/>
        <v>0</v>
      </c>
      <c r="R78" s="112">
        <f t="shared" si="21"/>
        <v>0</v>
      </c>
      <c r="T78" s="288">
        <v>0</v>
      </c>
      <c r="U78" s="289">
        <v>0</v>
      </c>
      <c r="V78" s="290">
        <v>0</v>
      </c>
    </row>
    <row r="79" spans="1:23" x14ac:dyDescent="0.25">
      <c r="A79" s="35" t="str">
        <f t="shared" si="22"/>
        <v>Head OfficeC6</v>
      </c>
      <c r="C79" s="174">
        <f>IF(C78="-","-",IF(C78+1&gt;COUNTA('0. Control Panel'!$C$7:$C$16),"-",'2. Customer Benefit Input'!C78+1))</f>
        <v>8</v>
      </c>
      <c r="D79" s="226" t="str">
        <f>IF(C79="-","-",INDEX('0. Control Panel'!$B$6:$K$16,MATCH('2. Customer Benefit Input'!$C79,'0. Control Panel'!$B$6:$B$16,0),MATCH(D$6,'0. Control Panel'!$B$6:$K$6,0)))</f>
        <v>Head Office</v>
      </c>
      <c r="E79" s="174"/>
      <c r="F79" s="214">
        <f>IFERROR(INDEX('1. FTE Allocations'!$A$5:$I$307,MATCH($A79,'1. FTE Allocations'!$A$5:$A$307,0),MATCH(F$4,'1. FTE Allocations'!$A$5:$I$5,0)),0)</f>
        <v>0</v>
      </c>
      <c r="H79" s="288">
        <v>0</v>
      </c>
      <c r="I79" s="289">
        <v>0</v>
      </c>
      <c r="J79" s="290">
        <v>0</v>
      </c>
      <c r="L79" s="215">
        <f>IFERROR(INDEX('1. FTE Allocations'!$A$5:$I$307,MATCH($A79,'1. FTE Allocations'!$A$5:$A$307,0),MATCH(L$4,'1. FTE Allocations'!$A$5:$I$5,0)),0)</f>
        <v>0</v>
      </c>
      <c r="M79" s="211"/>
      <c r="N79" s="294">
        <f t="shared" si="23"/>
        <v>0</v>
      </c>
      <c r="O79" s="297">
        <f t="shared" si="20"/>
        <v>0</v>
      </c>
      <c r="P79" s="298">
        <f t="shared" si="20"/>
        <v>0</v>
      </c>
      <c r="R79" s="112">
        <f t="shared" si="21"/>
        <v>0</v>
      </c>
      <c r="T79" s="288">
        <v>0</v>
      </c>
      <c r="U79" s="289">
        <v>0</v>
      </c>
      <c r="V79" s="290">
        <v>0</v>
      </c>
    </row>
    <row r="80" spans="1:23" x14ac:dyDescent="0.25">
      <c r="A80" s="35" t="str">
        <f t="shared" si="22"/>
        <v>-C6</v>
      </c>
      <c r="C80" s="174" t="str">
        <f>IF(C79="-","-",IF(C79+1&gt;COUNTA('0. Control Panel'!$C$7:$C$16),"-",'2. Customer Benefit Input'!C79+1))</f>
        <v>-</v>
      </c>
      <c r="D80" s="226" t="str">
        <f>IF(C80="-","-",INDEX('0. Control Panel'!$B$6:$K$16,MATCH('2. Customer Benefit Input'!$C80,'0. Control Panel'!$B$6:$B$16,0),MATCH(D$6,'0. Control Panel'!$B$6:$K$6,0)))</f>
        <v>-</v>
      </c>
      <c r="E80" s="174"/>
      <c r="F80" s="214">
        <f>IFERROR(INDEX('1. FTE Allocations'!$A$5:$I$307,MATCH($A80,'1. FTE Allocations'!$A$5:$A$307,0),MATCH(F$4,'1. FTE Allocations'!$A$5:$I$5,0)),0)</f>
        <v>0</v>
      </c>
      <c r="H80" s="288">
        <v>0</v>
      </c>
      <c r="I80" s="289">
        <v>0</v>
      </c>
      <c r="J80" s="290">
        <v>0</v>
      </c>
      <c r="L80" s="215">
        <f>IFERROR(INDEX('1. FTE Allocations'!$A$5:$I$307,MATCH($A80,'1. FTE Allocations'!$A$5:$A$307,0),MATCH(L$4,'1. FTE Allocations'!$A$5:$I$5,0)),0)</f>
        <v>0</v>
      </c>
      <c r="M80" s="211"/>
      <c r="N80" s="294">
        <f t="shared" si="23"/>
        <v>0</v>
      </c>
      <c r="O80" s="297">
        <f t="shared" si="20"/>
        <v>0</v>
      </c>
      <c r="P80" s="298">
        <f t="shared" si="20"/>
        <v>0</v>
      </c>
      <c r="R80" s="112">
        <f t="shared" si="21"/>
        <v>0</v>
      </c>
      <c r="T80" s="288">
        <v>0</v>
      </c>
      <c r="U80" s="289">
        <v>0</v>
      </c>
      <c r="V80" s="290">
        <v>0</v>
      </c>
    </row>
    <row r="81" spans="1:23" x14ac:dyDescent="0.25">
      <c r="A81" s="35" t="str">
        <f t="shared" si="22"/>
        <v>-C6</v>
      </c>
      <c r="C81" s="175" t="str">
        <f>IF(C80="-","-",IF(C80+1&gt;COUNTA('0. Control Panel'!$C$7:$C$16),"-",'2. Customer Benefit Input'!C80+1))</f>
        <v>-</v>
      </c>
      <c r="D81" s="227" t="str">
        <f>IF(C81="-","-",INDEX('0. Control Panel'!$B$6:$K$16,MATCH('2. Customer Benefit Input'!$C81,'0. Control Panel'!$B$6:$B$16,0),MATCH(D$6,'0. Control Panel'!$B$6:$K$6,0)))</f>
        <v>-</v>
      </c>
      <c r="E81" s="175"/>
      <c r="F81" s="216">
        <f>IFERROR(INDEX('1. FTE Allocations'!$A$5:$I$307,MATCH($A81,'1. FTE Allocations'!$A$5:$A$307,0),MATCH(F$4,'1. FTE Allocations'!$A$5:$I$5,0)),0)</f>
        <v>0</v>
      </c>
      <c r="H81" s="291">
        <v>0</v>
      </c>
      <c r="I81" s="292">
        <v>0</v>
      </c>
      <c r="J81" s="293">
        <v>0</v>
      </c>
      <c r="L81" s="217">
        <f>IFERROR(INDEX('1. FTE Allocations'!$A$5:$I$307,MATCH($A81,'1. FTE Allocations'!$A$5:$A$307,0),MATCH(L$4,'1. FTE Allocations'!$A$5:$I$5,0)),0)</f>
        <v>0</v>
      </c>
      <c r="M81" s="211"/>
      <c r="N81" s="299">
        <f t="shared" si="23"/>
        <v>0</v>
      </c>
      <c r="O81" s="300">
        <f t="shared" si="20"/>
        <v>0</v>
      </c>
      <c r="P81" s="301">
        <f t="shared" si="20"/>
        <v>0</v>
      </c>
      <c r="R81" s="317">
        <f t="shared" si="21"/>
        <v>0</v>
      </c>
      <c r="T81" s="291">
        <v>0</v>
      </c>
      <c r="U81" s="292">
        <v>0</v>
      </c>
      <c r="V81" s="293">
        <v>0</v>
      </c>
    </row>
    <row r="82" spans="1:23" x14ac:dyDescent="0.25">
      <c r="D82" s="314" t="s">
        <v>72</v>
      </c>
      <c r="F82" s="315">
        <f>SUM(F72:F81)</f>
        <v>2.0249999999999999</v>
      </c>
      <c r="G82" s="35"/>
      <c r="R82" s="316">
        <f>SUM(R72:R81)</f>
        <v>0</v>
      </c>
      <c r="S82" s="35"/>
      <c r="T82" s="35"/>
      <c r="U82" s="35"/>
      <c r="V82" s="35"/>
    </row>
    <row r="83" spans="1:23" ht="9.9499999999999993" customHeight="1" x14ac:dyDescent="0.25">
      <c r="C83" s="51"/>
      <c r="D83" s="220"/>
      <c r="E83" s="51"/>
      <c r="F83" s="313"/>
      <c r="G83" s="35"/>
      <c r="R83" s="164"/>
      <c r="S83" s="35"/>
      <c r="T83" s="35"/>
      <c r="U83" s="35"/>
      <c r="V83" s="35"/>
      <c r="W83" s="51"/>
    </row>
    <row r="84" spans="1:23" ht="15.95" customHeight="1" x14ac:dyDescent="0.25">
      <c r="C84" s="187" t="s">
        <v>18</v>
      </c>
      <c r="D84" s="223" t="str">
        <f>IF(INDEX('0. Control Panel'!$B$19:$C$29,MATCH('2. Customer Benefit Input'!$C84,'0. Control Panel'!$B$19:$B$29,0),2)="","n/a",INDEX('0. Control Panel'!$B$19:$C$29,MATCH('2. Customer Benefit Input'!$C84,'0. Control Panel'!$B$19:$B$29,0),2))</f>
        <v>Economies of Scale (M&amp;A)</v>
      </c>
      <c r="F84" s="218"/>
      <c r="G84" s="35"/>
      <c r="H84" s="35"/>
      <c r="I84" s="35"/>
      <c r="J84" s="35"/>
      <c r="K84" s="35"/>
      <c r="L84" s="35"/>
      <c r="M84" s="35"/>
      <c r="N84" s="35"/>
      <c r="O84" s="35"/>
      <c r="P84" s="35"/>
      <c r="Q84" s="35"/>
      <c r="R84" s="35"/>
      <c r="S84" s="35"/>
      <c r="T84" s="35"/>
      <c r="U84" s="35"/>
      <c r="V84" s="35"/>
    </row>
    <row r="85" spans="1:23" x14ac:dyDescent="0.25">
      <c r="A85" s="35" t="str">
        <f>D85&amp;$C$84</f>
        <v>ITC7</v>
      </c>
      <c r="C85" s="170">
        <f>IF(C82="-","-",IF(C82+1&gt;COUNTA('0. Control Panel'!$C$7:$C$16),"-",'2. Customer Benefit Input'!C82+1))</f>
        <v>1</v>
      </c>
      <c r="D85" s="225" t="str">
        <f>IF(C85="-","-",INDEX('0. Control Panel'!$B$6:$K$16,MATCH('2. Customer Benefit Input'!$C85,'0. Control Panel'!$B$6:$B$16,0),MATCH(D$6,'0. Control Panel'!$B$6:$K$6,0)))</f>
        <v>IT</v>
      </c>
      <c r="E85" s="170"/>
      <c r="F85" s="209">
        <f>IFERROR(INDEX('1. FTE Allocations'!$A$5:$I$307,MATCH($A85,'1. FTE Allocations'!$A$5:$A$307,0),MATCH(F$4,'1. FTE Allocations'!$A$5:$I$5,0)),0)</f>
        <v>0</v>
      </c>
      <c r="H85" s="285">
        <v>0</v>
      </c>
      <c r="I85" s="286">
        <v>0</v>
      </c>
      <c r="J85" s="287">
        <v>0</v>
      </c>
      <c r="L85" s="210">
        <f>IFERROR(INDEX('1. FTE Allocations'!$A$5:$I$307,MATCH($A85,'1. FTE Allocations'!$A$5:$A$307,0),MATCH(L$4,'1. FTE Allocations'!$A$5:$I$5,0)),0)</f>
        <v>0</v>
      </c>
      <c r="M85" s="211"/>
      <c r="N85" s="302">
        <f>$L85</f>
        <v>0</v>
      </c>
      <c r="O85" s="295">
        <f t="shared" ref="O85:P94" si="24">$L85</f>
        <v>0</v>
      </c>
      <c r="P85" s="296">
        <f t="shared" si="24"/>
        <v>0</v>
      </c>
      <c r="R85" s="112">
        <f t="shared" ref="R85:R94" si="25">AVERAGE(T85:V85)</f>
        <v>0</v>
      </c>
      <c r="T85" s="285">
        <v>0</v>
      </c>
      <c r="U85" s="286">
        <v>0</v>
      </c>
      <c r="V85" s="287">
        <v>0</v>
      </c>
    </row>
    <row r="86" spans="1:23" x14ac:dyDescent="0.25">
      <c r="A86" s="35" t="str">
        <f t="shared" ref="A86:A94" si="26">D86&amp;$C$84</f>
        <v>SalesC7</v>
      </c>
      <c r="C86" s="174">
        <f>IF(C85="-","-",IF(C85+1&gt;COUNTA('0. Control Panel'!$C$7:$C$16),"-",'2. Customer Benefit Input'!C85+1))</f>
        <v>2</v>
      </c>
      <c r="D86" s="226" t="str">
        <f>IF(C86="-","-",INDEX('0. Control Panel'!$B$6:$K$16,MATCH('2. Customer Benefit Input'!$C86,'0. Control Panel'!$B$6:$B$16,0),MATCH(D$6,'0. Control Panel'!$B$6:$K$6,0)))</f>
        <v>Sales</v>
      </c>
      <c r="E86" s="174"/>
      <c r="F86" s="214">
        <f>IFERROR(INDEX('1. FTE Allocations'!$A$5:$I$307,MATCH($A86,'1. FTE Allocations'!$A$5:$A$307,0),MATCH(F$4,'1. FTE Allocations'!$A$5:$I$5,0)),0)</f>
        <v>0</v>
      </c>
      <c r="H86" s="288">
        <v>0</v>
      </c>
      <c r="I86" s="289">
        <v>0</v>
      </c>
      <c r="J86" s="290">
        <v>0</v>
      </c>
      <c r="L86" s="215">
        <f>IFERROR(INDEX('1. FTE Allocations'!$A$5:$I$307,MATCH($A86,'1. FTE Allocations'!$A$5:$A$307,0),MATCH(L$4,'1. FTE Allocations'!$A$5:$I$5,0)),0)</f>
        <v>0</v>
      </c>
      <c r="M86" s="211"/>
      <c r="N86" s="294">
        <f t="shared" ref="N86:N94" si="27">$L86</f>
        <v>0</v>
      </c>
      <c r="O86" s="297">
        <f t="shared" si="24"/>
        <v>0</v>
      </c>
      <c r="P86" s="298">
        <f t="shared" si="24"/>
        <v>0</v>
      </c>
      <c r="R86" s="112">
        <f t="shared" si="25"/>
        <v>0</v>
      </c>
      <c r="T86" s="288">
        <v>0</v>
      </c>
      <c r="U86" s="289">
        <v>0</v>
      </c>
      <c r="V86" s="290">
        <v>0</v>
      </c>
    </row>
    <row r="87" spans="1:23" x14ac:dyDescent="0.25">
      <c r="A87" s="35" t="str">
        <f t="shared" si="26"/>
        <v>Product AC7</v>
      </c>
      <c r="C87" s="174">
        <f>IF(C86="-","-",IF(C86+1&gt;COUNTA('0. Control Panel'!$C$7:$C$16),"-",'2. Customer Benefit Input'!C86+1))</f>
        <v>3</v>
      </c>
      <c r="D87" s="226" t="str">
        <f>IF(C87="-","-",INDEX('0. Control Panel'!$B$6:$K$16,MATCH('2. Customer Benefit Input'!$C87,'0. Control Panel'!$B$6:$B$16,0),MATCH(D$6,'0. Control Panel'!$B$6:$K$6,0)))</f>
        <v>Product A</v>
      </c>
      <c r="E87" s="174"/>
      <c r="F87" s="214">
        <f>IFERROR(INDEX('1. FTE Allocations'!$A$5:$I$307,MATCH($A87,'1. FTE Allocations'!$A$5:$A$307,0),MATCH(F$4,'1. FTE Allocations'!$A$5:$I$5,0)),0)</f>
        <v>0</v>
      </c>
      <c r="H87" s="288">
        <v>0</v>
      </c>
      <c r="I87" s="289">
        <v>0</v>
      </c>
      <c r="J87" s="290">
        <v>0</v>
      </c>
      <c r="L87" s="215">
        <f>IFERROR(INDEX('1. FTE Allocations'!$A$5:$I$307,MATCH($A87,'1. FTE Allocations'!$A$5:$A$307,0),MATCH(L$4,'1. FTE Allocations'!$A$5:$I$5,0)),0)</f>
        <v>0</v>
      </c>
      <c r="M87" s="211"/>
      <c r="N87" s="294">
        <f t="shared" si="27"/>
        <v>0</v>
      </c>
      <c r="O87" s="297">
        <f t="shared" si="24"/>
        <v>0</v>
      </c>
      <c r="P87" s="298">
        <f t="shared" si="24"/>
        <v>0</v>
      </c>
      <c r="R87" s="112">
        <f>AVERAGE(T87:V87)</f>
        <v>0</v>
      </c>
      <c r="T87" s="288">
        <v>0</v>
      </c>
      <c r="U87" s="289">
        <v>0</v>
      </c>
      <c r="V87" s="290">
        <v>0</v>
      </c>
    </row>
    <row r="88" spans="1:23" x14ac:dyDescent="0.25">
      <c r="A88" s="35" t="str">
        <f t="shared" si="26"/>
        <v>Product BC7</v>
      </c>
      <c r="C88" s="174">
        <f>IF(C87="-","-",IF(C87+1&gt;COUNTA('0. Control Panel'!$C$7:$C$16),"-",'2. Customer Benefit Input'!C87+1))</f>
        <v>4</v>
      </c>
      <c r="D88" s="226" t="str">
        <f>IF(C88="-","-",INDEX('0. Control Panel'!$B$6:$K$16,MATCH('2. Customer Benefit Input'!$C88,'0. Control Panel'!$B$6:$B$16,0),MATCH(D$6,'0. Control Panel'!$B$6:$K$6,0)))</f>
        <v>Product B</v>
      </c>
      <c r="E88" s="174"/>
      <c r="F88" s="214">
        <f>IFERROR(INDEX('1. FTE Allocations'!$A$5:$I$307,MATCH($A88,'1. FTE Allocations'!$A$5:$A$307,0),MATCH(F$4,'1. FTE Allocations'!$A$5:$I$5,0)),0)</f>
        <v>29.700000000000003</v>
      </c>
      <c r="H88" s="288">
        <v>-10</v>
      </c>
      <c r="I88" s="289">
        <v>-20</v>
      </c>
      <c r="J88" s="290">
        <v>-30</v>
      </c>
      <c r="L88" s="215">
        <f>IFERROR(INDEX('1. FTE Allocations'!$A$5:$I$307,MATCH($A88,'1. FTE Allocations'!$A$5:$A$307,0),MATCH(L$4,'1. FTE Allocations'!$A$5:$I$5,0)),0)</f>
        <v>0.5</v>
      </c>
      <c r="M88" s="211"/>
      <c r="N88" s="294">
        <f t="shared" si="27"/>
        <v>0.5</v>
      </c>
      <c r="O88" s="297">
        <f t="shared" si="24"/>
        <v>0.5</v>
      </c>
      <c r="P88" s="298">
        <f t="shared" si="24"/>
        <v>0.5</v>
      </c>
      <c r="R88" s="112">
        <f t="shared" si="25"/>
        <v>0</v>
      </c>
      <c r="T88" s="288">
        <v>0</v>
      </c>
      <c r="U88" s="289">
        <v>0</v>
      </c>
      <c r="V88" s="290">
        <v>0</v>
      </c>
    </row>
    <row r="89" spans="1:23" x14ac:dyDescent="0.25">
      <c r="A89" s="35" t="str">
        <f t="shared" si="26"/>
        <v>R&amp;DC7</v>
      </c>
      <c r="C89" s="174">
        <f>IF(C88="-","-",IF(C88+1&gt;COUNTA('0. Control Panel'!$C$7:$C$16),"-",'2. Customer Benefit Input'!C88+1))</f>
        <v>5</v>
      </c>
      <c r="D89" s="226" t="str">
        <f>IF(C89="-","-",INDEX('0. Control Panel'!$B$6:$K$16,MATCH('2. Customer Benefit Input'!$C89,'0. Control Panel'!$B$6:$B$16,0),MATCH(D$6,'0. Control Panel'!$B$6:$K$6,0)))</f>
        <v>R&amp;D</v>
      </c>
      <c r="E89" s="174"/>
      <c r="F89" s="214">
        <f>IFERROR(INDEX('1. FTE Allocations'!$A$5:$I$307,MATCH($A89,'1. FTE Allocations'!$A$5:$A$307,0),MATCH(F$4,'1. FTE Allocations'!$A$5:$I$5,0)),0)</f>
        <v>0</v>
      </c>
      <c r="H89" s="288">
        <v>0</v>
      </c>
      <c r="I89" s="289">
        <v>0</v>
      </c>
      <c r="J89" s="290">
        <v>0</v>
      </c>
      <c r="L89" s="215">
        <f>IFERROR(INDEX('1. FTE Allocations'!$A$5:$I$307,MATCH($A89,'1. FTE Allocations'!$A$5:$A$307,0),MATCH(L$4,'1. FTE Allocations'!$A$5:$I$5,0)),0)</f>
        <v>0</v>
      </c>
      <c r="M89" s="211"/>
      <c r="N89" s="294">
        <f t="shared" si="27"/>
        <v>0</v>
      </c>
      <c r="O89" s="297">
        <f t="shared" si="24"/>
        <v>0</v>
      </c>
      <c r="P89" s="298">
        <f t="shared" si="24"/>
        <v>0</v>
      </c>
      <c r="R89" s="112">
        <f t="shared" si="25"/>
        <v>0</v>
      </c>
      <c r="T89" s="288">
        <v>0</v>
      </c>
      <c r="U89" s="289">
        <v>0</v>
      </c>
      <c r="V89" s="290">
        <v>0</v>
      </c>
    </row>
    <row r="90" spans="1:23" x14ac:dyDescent="0.25">
      <c r="A90" s="35" t="str">
        <f t="shared" si="26"/>
        <v>HRC7</v>
      </c>
      <c r="C90" s="174">
        <f>IF(C89="-","-",IF(C89+1&gt;COUNTA('0. Control Panel'!$C$7:$C$16),"-",'2. Customer Benefit Input'!C89+1))</f>
        <v>6</v>
      </c>
      <c r="D90" s="226" t="str">
        <f>IF(C90="-","-",INDEX('0. Control Panel'!$B$6:$K$16,MATCH('2. Customer Benefit Input'!$C90,'0. Control Panel'!$B$6:$B$16,0),MATCH(D$6,'0. Control Panel'!$B$6:$K$6,0)))</f>
        <v>HR</v>
      </c>
      <c r="E90" s="174"/>
      <c r="F90" s="214">
        <f>IFERROR(INDEX('1. FTE Allocations'!$A$5:$I$307,MATCH($A90,'1. FTE Allocations'!$A$5:$A$307,0),MATCH(F$4,'1. FTE Allocations'!$A$5:$I$5,0)),0)</f>
        <v>9.4500000000000011</v>
      </c>
      <c r="H90" s="288">
        <v>-1</v>
      </c>
      <c r="I90" s="288">
        <v>-2</v>
      </c>
      <c r="J90" s="288">
        <v>-3</v>
      </c>
      <c r="L90" s="215">
        <f>IFERROR(INDEX('1. FTE Allocations'!$A$5:$I$307,MATCH($A90,'1. FTE Allocations'!$A$5:$A$307,0),MATCH(L$4,'1. FTE Allocations'!$A$5:$I$5,0)),0)</f>
        <v>0.5</v>
      </c>
      <c r="M90" s="211"/>
      <c r="N90" s="294">
        <f t="shared" si="27"/>
        <v>0.5</v>
      </c>
      <c r="O90" s="297">
        <f t="shared" si="24"/>
        <v>0.5</v>
      </c>
      <c r="P90" s="298">
        <f t="shared" si="24"/>
        <v>0.5</v>
      </c>
      <c r="R90" s="112">
        <f t="shared" si="25"/>
        <v>0</v>
      </c>
      <c r="T90" s="288">
        <v>0</v>
      </c>
      <c r="U90" s="289">
        <v>0</v>
      </c>
      <c r="V90" s="290">
        <v>0</v>
      </c>
    </row>
    <row r="91" spans="1:23" x14ac:dyDescent="0.25">
      <c r="A91" s="35" t="str">
        <f t="shared" si="26"/>
        <v>FinanceC7</v>
      </c>
      <c r="C91" s="174">
        <f>IF(C90="-","-",IF(C90+1&gt;COUNTA('0. Control Panel'!$C$7:$C$16),"-",'2. Customer Benefit Input'!C90+1))</f>
        <v>7</v>
      </c>
      <c r="D91" s="226" t="str">
        <f>IF(C91="-","-",INDEX('0. Control Panel'!$B$6:$K$16,MATCH('2. Customer Benefit Input'!$C91,'0. Control Panel'!$B$6:$B$16,0),MATCH(D$6,'0. Control Panel'!$B$6:$K$6,0)))</f>
        <v>Finance</v>
      </c>
      <c r="E91" s="174"/>
      <c r="F91" s="214">
        <f>IFERROR(INDEX('1. FTE Allocations'!$A$5:$I$307,MATCH($A91,'1. FTE Allocations'!$A$5:$A$307,0),MATCH(F$4,'1. FTE Allocations'!$A$5:$I$5,0)),0)</f>
        <v>8.1</v>
      </c>
      <c r="H91" s="288">
        <v>0</v>
      </c>
      <c r="I91" s="289">
        <v>-3</v>
      </c>
      <c r="J91" s="290">
        <v>-6</v>
      </c>
      <c r="L91" s="215">
        <f>IFERROR(INDEX('1. FTE Allocations'!$A$5:$I$307,MATCH($A91,'1. FTE Allocations'!$A$5:$A$307,0),MATCH(L$4,'1. FTE Allocations'!$A$5:$I$5,0)),0)</f>
        <v>1</v>
      </c>
      <c r="M91" s="211"/>
      <c r="N91" s="294">
        <f t="shared" si="27"/>
        <v>1</v>
      </c>
      <c r="O91" s="297">
        <f t="shared" si="24"/>
        <v>1</v>
      </c>
      <c r="P91" s="298">
        <f t="shared" si="24"/>
        <v>1</v>
      </c>
      <c r="R91" s="112">
        <f t="shared" si="25"/>
        <v>0</v>
      </c>
      <c r="T91" s="288">
        <v>0</v>
      </c>
      <c r="U91" s="289">
        <v>0</v>
      </c>
      <c r="V91" s="290">
        <v>0</v>
      </c>
    </row>
    <row r="92" spans="1:23" x14ac:dyDescent="0.25">
      <c r="A92" s="35" t="str">
        <f t="shared" si="26"/>
        <v>Head OfficeC7</v>
      </c>
      <c r="C92" s="174">
        <f>IF(C91="-","-",IF(C91+1&gt;COUNTA('0. Control Panel'!$C$7:$C$16),"-",'2. Customer Benefit Input'!C91+1))</f>
        <v>8</v>
      </c>
      <c r="D92" s="226" t="str">
        <f>IF(C92="-","-",INDEX('0. Control Panel'!$B$6:$K$16,MATCH('2. Customer Benefit Input'!$C92,'0. Control Panel'!$B$6:$B$16,0),MATCH(D$6,'0. Control Panel'!$B$6:$K$6,0)))</f>
        <v>Head Office</v>
      </c>
      <c r="E92" s="174"/>
      <c r="F92" s="214">
        <f>IFERROR(INDEX('1. FTE Allocations'!$A$5:$I$307,MATCH($A92,'1. FTE Allocations'!$A$5:$A$307,0),MATCH(F$4,'1. FTE Allocations'!$A$5:$I$5,0)),0)</f>
        <v>12.15</v>
      </c>
      <c r="H92" s="288">
        <v>0</v>
      </c>
      <c r="I92" s="289">
        <v>-4</v>
      </c>
      <c r="J92" s="290">
        <v>-8</v>
      </c>
      <c r="L92" s="215">
        <f>IFERROR(INDEX('1. FTE Allocations'!$A$5:$I$307,MATCH($A92,'1. FTE Allocations'!$A$5:$A$307,0),MATCH(L$4,'1. FTE Allocations'!$A$5:$I$5,0)),0)</f>
        <v>0.5</v>
      </c>
      <c r="M92" s="211"/>
      <c r="N92" s="294">
        <f t="shared" si="27"/>
        <v>0.5</v>
      </c>
      <c r="O92" s="297">
        <v>0.4</v>
      </c>
      <c r="P92" s="298">
        <v>0.3</v>
      </c>
      <c r="R92" s="112">
        <f t="shared" si="25"/>
        <v>0</v>
      </c>
      <c r="T92" s="288">
        <v>0</v>
      </c>
      <c r="U92" s="289">
        <v>0</v>
      </c>
      <c r="V92" s="290">
        <v>0</v>
      </c>
    </row>
    <row r="93" spans="1:23" x14ac:dyDescent="0.25">
      <c r="A93" s="35" t="str">
        <f t="shared" si="26"/>
        <v>-C7</v>
      </c>
      <c r="C93" s="174" t="str">
        <f>IF(C92="-","-",IF(C92+1&gt;COUNTA('0. Control Panel'!$C$7:$C$16),"-",'2. Customer Benefit Input'!C92+1))</f>
        <v>-</v>
      </c>
      <c r="D93" s="226" t="str">
        <f>IF(C93="-","-",INDEX('0. Control Panel'!$B$6:$K$16,MATCH('2. Customer Benefit Input'!$C93,'0. Control Panel'!$B$6:$B$16,0),MATCH(D$6,'0. Control Panel'!$B$6:$K$6,0)))</f>
        <v>-</v>
      </c>
      <c r="E93" s="174"/>
      <c r="F93" s="214">
        <f>IFERROR(INDEX('1. FTE Allocations'!$A$5:$I$307,MATCH($A93,'1. FTE Allocations'!$A$5:$A$307,0),MATCH(F$4,'1. FTE Allocations'!$A$5:$I$5,0)),0)</f>
        <v>0</v>
      </c>
      <c r="H93" s="288">
        <v>0</v>
      </c>
      <c r="I93" s="289">
        <v>0</v>
      </c>
      <c r="J93" s="290">
        <v>0</v>
      </c>
      <c r="L93" s="215">
        <f>IFERROR(INDEX('1. FTE Allocations'!$A$5:$I$307,MATCH($A93,'1. FTE Allocations'!$A$5:$A$307,0),MATCH(L$4,'1. FTE Allocations'!$A$5:$I$5,0)),0)</f>
        <v>0</v>
      </c>
      <c r="M93" s="211"/>
      <c r="N93" s="294">
        <f t="shared" si="27"/>
        <v>0</v>
      </c>
      <c r="O93" s="297">
        <f t="shared" si="24"/>
        <v>0</v>
      </c>
      <c r="P93" s="298">
        <f t="shared" si="24"/>
        <v>0</v>
      </c>
      <c r="R93" s="112">
        <f t="shared" si="25"/>
        <v>0</v>
      </c>
      <c r="T93" s="288">
        <v>0</v>
      </c>
      <c r="U93" s="289">
        <v>0</v>
      </c>
      <c r="V93" s="290">
        <v>0</v>
      </c>
    </row>
    <row r="94" spans="1:23" x14ac:dyDescent="0.25">
      <c r="A94" s="35" t="str">
        <f t="shared" si="26"/>
        <v>-C7</v>
      </c>
      <c r="C94" s="175" t="str">
        <f>IF(C93="-","-",IF(C93+1&gt;COUNTA('0. Control Panel'!$C$7:$C$16),"-",'2. Customer Benefit Input'!C93+1))</f>
        <v>-</v>
      </c>
      <c r="D94" s="227" t="str">
        <f>IF(C94="-","-",INDEX('0. Control Panel'!$B$6:$K$16,MATCH('2. Customer Benefit Input'!$C94,'0. Control Panel'!$B$6:$B$16,0),MATCH(D$6,'0. Control Panel'!$B$6:$K$6,0)))</f>
        <v>-</v>
      </c>
      <c r="E94" s="175"/>
      <c r="F94" s="216">
        <f>IFERROR(INDEX('1. FTE Allocations'!$A$5:$I$307,MATCH($A94,'1. FTE Allocations'!$A$5:$A$307,0),MATCH(F$4,'1. FTE Allocations'!$A$5:$I$5,0)),0)</f>
        <v>0</v>
      </c>
      <c r="H94" s="291">
        <v>0</v>
      </c>
      <c r="I94" s="292">
        <v>0</v>
      </c>
      <c r="J94" s="293">
        <v>0</v>
      </c>
      <c r="L94" s="217">
        <f>IFERROR(INDEX('1. FTE Allocations'!$A$5:$I$307,MATCH($A94,'1. FTE Allocations'!$A$5:$A$307,0),MATCH(L$4,'1. FTE Allocations'!$A$5:$I$5,0)),0)</f>
        <v>0</v>
      </c>
      <c r="M94" s="211"/>
      <c r="N94" s="299">
        <f t="shared" si="27"/>
        <v>0</v>
      </c>
      <c r="O94" s="300">
        <f t="shared" si="24"/>
        <v>0</v>
      </c>
      <c r="P94" s="301">
        <f t="shared" si="24"/>
        <v>0</v>
      </c>
      <c r="R94" s="317">
        <f t="shared" si="25"/>
        <v>0</v>
      </c>
      <c r="T94" s="291">
        <v>0</v>
      </c>
      <c r="U94" s="292">
        <v>0</v>
      </c>
      <c r="V94" s="293">
        <v>0</v>
      </c>
    </row>
    <row r="95" spans="1:23" x14ac:dyDescent="0.25">
      <c r="C95" s="51"/>
      <c r="D95" s="314" t="s">
        <v>72</v>
      </c>
      <c r="E95" s="51"/>
      <c r="F95" s="315">
        <f>SUM(F85:F94)</f>
        <v>59.400000000000006</v>
      </c>
      <c r="G95" s="35"/>
      <c r="R95" s="316">
        <f>SUM(R85:R94)</f>
        <v>0</v>
      </c>
      <c r="S95" s="35"/>
      <c r="T95" s="35"/>
      <c r="U95" s="35"/>
      <c r="V95" s="35"/>
      <c r="W95" s="51"/>
    </row>
    <row r="96" spans="1:23" ht="9.9499999999999993" customHeight="1" x14ac:dyDescent="0.25">
      <c r="C96" s="51"/>
      <c r="D96" s="220"/>
      <c r="E96" s="51"/>
      <c r="F96" s="313"/>
      <c r="G96" s="35"/>
      <c r="R96" s="164"/>
      <c r="S96" s="35"/>
      <c r="T96" s="35"/>
      <c r="U96" s="35"/>
      <c r="V96" s="35"/>
      <c r="W96" s="51"/>
    </row>
    <row r="97" spans="1:23" ht="15.95" customHeight="1" x14ac:dyDescent="0.25">
      <c r="C97" s="187" t="s">
        <v>19</v>
      </c>
      <c r="D97" s="223" t="str">
        <f>IF(INDEX('0. Control Panel'!$B$19:$C$29,MATCH('2. Customer Benefit Input'!$C97,'0. Control Panel'!$B$19:$B$29,0),2)="","n/a",INDEX('0. Control Panel'!$B$19:$C$29,MATCH('2. Customer Benefit Input'!$C97,'0. Control Panel'!$B$19:$B$29,0),2))</f>
        <v>n/a</v>
      </c>
      <c r="F97" s="218"/>
      <c r="G97" s="35"/>
      <c r="H97" s="35"/>
      <c r="I97" s="35"/>
      <c r="J97" s="35"/>
      <c r="K97" s="35"/>
      <c r="L97" s="35"/>
      <c r="M97" s="35"/>
      <c r="N97" s="35"/>
      <c r="O97" s="35"/>
      <c r="P97" s="35"/>
      <c r="Q97" s="35"/>
      <c r="R97" s="35"/>
      <c r="S97" s="35"/>
      <c r="T97" s="35"/>
      <c r="U97" s="35"/>
      <c r="V97" s="35"/>
    </row>
    <row r="98" spans="1:23" x14ac:dyDescent="0.25">
      <c r="A98" s="35" t="str">
        <f>D98&amp;$C$97</f>
        <v>ITC8</v>
      </c>
      <c r="C98" s="170">
        <f>IF(C95="-","-",IF(C95+1&gt;COUNTA('0. Control Panel'!$C$7:$C$16),"-",'2. Customer Benefit Input'!C95+1))</f>
        <v>1</v>
      </c>
      <c r="D98" s="225" t="str">
        <f>IF(C98="-","-",INDEX('0. Control Panel'!$B$6:$K$16,MATCH('2. Customer Benefit Input'!$C98,'0. Control Panel'!$B$6:$B$16,0),MATCH(D$6,'0. Control Panel'!$B$6:$K$6,0)))</f>
        <v>IT</v>
      </c>
      <c r="E98" s="170"/>
      <c r="F98" s="209">
        <f>IFERROR(INDEX('1. FTE Allocations'!$A$5:$I$307,MATCH($A98,'1. FTE Allocations'!$A$5:$A$307,0),MATCH(F$4,'1. FTE Allocations'!$A$5:$I$5,0)),0)</f>
        <v>0</v>
      </c>
      <c r="H98" s="285">
        <v>0</v>
      </c>
      <c r="I98" s="286">
        <v>0</v>
      </c>
      <c r="J98" s="287">
        <v>0</v>
      </c>
      <c r="L98" s="210">
        <f>IFERROR(INDEX('1. FTE Allocations'!$A$5:$I$307,MATCH($A98,'1. FTE Allocations'!$A$5:$A$307,0),MATCH(L$4,'1. FTE Allocations'!$A$5:$I$5,0)),0)</f>
        <v>0</v>
      </c>
      <c r="M98" s="211"/>
      <c r="N98" s="302">
        <f>$L98</f>
        <v>0</v>
      </c>
      <c r="O98" s="295">
        <f t="shared" ref="O98:P107" si="28">$L98</f>
        <v>0</v>
      </c>
      <c r="P98" s="296">
        <f t="shared" si="28"/>
        <v>0</v>
      </c>
      <c r="R98" s="112">
        <f t="shared" ref="R98:R107" si="29">AVERAGE(T98:V98)</f>
        <v>0</v>
      </c>
      <c r="T98" s="285">
        <v>0</v>
      </c>
      <c r="U98" s="286">
        <v>0</v>
      </c>
      <c r="V98" s="287">
        <v>0</v>
      </c>
    </row>
    <row r="99" spans="1:23" x14ac:dyDescent="0.25">
      <c r="A99" s="35" t="str">
        <f t="shared" ref="A99:A107" si="30">D99&amp;$C$97</f>
        <v>SalesC8</v>
      </c>
      <c r="C99" s="174">
        <f>IF(C98="-","-",IF(C98+1&gt;COUNTA('0. Control Panel'!$C$7:$C$16),"-",'2. Customer Benefit Input'!C98+1))</f>
        <v>2</v>
      </c>
      <c r="D99" s="226" t="str">
        <f>IF(C99="-","-",INDEX('0. Control Panel'!$B$6:$K$16,MATCH('2. Customer Benefit Input'!$C99,'0. Control Panel'!$B$6:$B$16,0),MATCH(D$6,'0. Control Panel'!$B$6:$K$6,0)))</f>
        <v>Sales</v>
      </c>
      <c r="E99" s="174"/>
      <c r="F99" s="214">
        <f>IFERROR(INDEX('1. FTE Allocations'!$A$5:$I$307,MATCH($A99,'1. FTE Allocations'!$A$5:$A$307,0),MATCH(F$4,'1. FTE Allocations'!$A$5:$I$5,0)),0)</f>
        <v>0</v>
      </c>
      <c r="H99" s="288">
        <v>0</v>
      </c>
      <c r="I99" s="289">
        <v>0</v>
      </c>
      <c r="J99" s="290">
        <v>0</v>
      </c>
      <c r="L99" s="215">
        <f>IFERROR(INDEX('1. FTE Allocations'!$A$5:$I$307,MATCH($A99,'1. FTE Allocations'!$A$5:$A$307,0),MATCH(L$4,'1. FTE Allocations'!$A$5:$I$5,0)),0)</f>
        <v>0</v>
      </c>
      <c r="M99" s="211"/>
      <c r="N99" s="294">
        <f t="shared" ref="N99:N107" si="31">$L99</f>
        <v>0</v>
      </c>
      <c r="O99" s="297">
        <f t="shared" si="28"/>
        <v>0</v>
      </c>
      <c r="P99" s="298">
        <f t="shared" si="28"/>
        <v>0</v>
      </c>
      <c r="R99" s="112">
        <f t="shared" si="29"/>
        <v>0</v>
      </c>
      <c r="T99" s="288">
        <v>0</v>
      </c>
      <c r="U99" s="289">
        <v>0</v>
      </c>
      <c r="V99" s="290">
        <v>0</v>
      </c>
    </row>
    <row r="100" spans="1:23" x14ac:dyDescent="0.25">
      <c r="A100" s="35" t="str">
        <f t="shared" si="30"/>
        <v>Product AC8</v>
      </c>
      <c r="C100" s="174">
        <f>IF(C99="-","-",IF(C99+1&gt;COUNTA('0. Control Panel'!$C$7:$C$16),"-",'2. Customer Benefit Input'!C99+1))</f>
        <v>3</v>
      </c>
      <c r="D100" s="226" t="str">
        <f>IF(C100="-","-",INDEX('0. Control Panel'!$B$6:$K$16,MATCH('2. Customer Benefit Input'!$C100,'0. Control Panel'!$B$6:$B$16,0),MATCH(D$6,'0. Control Panel'!$B$6:$K$6,0)))</f>
        <v>Product A</v>
      </c>
      <c r="E100" s="174"/>
      <c r="F100" s="214">
        <f>IFERROR(INDEX('1. FTE Allocations'!$A$5:$I$307,MATCH($A100,'1. FTE Allocations'!$A$5:$A$307,0),MATCH(F$4,'1. FTE Allocations'!$A$5:$I$5,0)),0)</f>
        <v>0</v>
      </c>
      <c r="H100" s="288">
        <v>0</v>
      </c>
      <c r="I100" s="289">
        <v>0</v>
      </c>
      <c r="J100" s="290">
        <v>0</v>
      </c>
      <c r="L100" s="215">
        <f>IFERROR(INDEX('1. FTE Allocations'!$A$5:$I$307,MATCH($A100,'1. FTE Allocations'!$A$5:$A$307,0),MATCH(L$4,'1. FTE Allocations'!$A$5:$I$5,0)),0)</f>
        <v>0</v>
      </c>
      <c r="M100" s="211"/>
      <c r="N100" s="294">
        <f t="shared" si="31"/>
        <v>0</v>
      </c>
      <c r="O100" s="297">
        <f t="shared" si="28"/>
        <v>0</v>
      </c>
      <c r="P100" s="298">
        <f t="shared" si="28"/>
        <v>0</v>
      </c>
      <c r="R100" s="112">
        <f>AVERAGE(T100:V100)</f>
        <v>0</v>
      </c>
      <c r="T100" s="288">
        <v>0</v>
      </c>
      <c r="U100" s="289">
        <v>0</v>
      </c>
      <c r="V100" s="290">
        <v>0</v>
      </c>
    </row>
    <row r="101" spans="1:23" x14ac:dyDescent="0.25">
      <c r="A101" s="35" t="str">
        <f t="shared" si="30"/>
        <v>Product BC8</v>
      </c>
      <c r="C101" s="174">
        <f>IF(C100="-","-",IF(C100+1&gt;COUNTA('0. Control Panel'!$C$7:$C$16),"-",'2. Customer Benefit Input'!C100+1))</f>
        <v>4</v>
      </c>
      <c r="D101" s="226" t="str">
        <f>IF(C101="-","-",INDEX('0. Control Panel'!$B$6:$K$16,MATCH('2. Customer Benefit Input'!$C101,'0. Control Panel'!$B$6:$B$16,0),MATCH(D$6,'0. Control Panel'!$B$6:$K$6,0)))</f>
        <v>Product B</v>
      </c>
      <c r="E101" s="174"/>
      <c r="F101" s="214">
        <f>IFERROR(INDEX('1. FTE Allocations'!$A$5:$I$307,MATCH($A101,'1. FTE Allocations'!$A$5:$A$307,0),MATCH(F$4,'1. FTE Allocations'!$A$5:$I$5,0)),0)</f>
        <v>0</v>
      </c>
      <c r="H101" s="288">
        <v>0</v>
      </c>
      <c r="I101" s="289">
        <v>0</v>
      </c>
      <c r="J101" s="290">
        <v>0</v>
      </c>
      <c r="L101" s="215">
        <f>IFERROR(INDEX('1. FTE Allocations'!$A$5:$I$307,MATCH($A101,'1. FTE Allocations'!$A$5:$A$307,0),MATCH(L$4,'1. FTE Allocations'!$A$5:$I$5,0)),0)</f>
        <v>0</v>
      </c>
      <c r="M101" s="211"/>
      <c r="N101" s="294">
        <f t="shared" si="31"/>
        <v>0</v>
      </c>
      <c r="O101" s="297">
        <f t="shared" si="28"/>
        <v>0</v>
      </c>
      <c r="P101" s="298">
        <f t="shared" si="28"/>
        <v>0</v>
      </c>
      <c r="R101" s="112">
        <f t="shared" si="29"/>
        <v>0</v>
      </c>
      <c r="T101" s="288">
        <v>0</v>
      </c>
      <c r="U101" s="289">
        <v>0</v>
      </c>
      <c r="V101" s="290">
        <v>0</v>
      </c>
    </row>
    <row r="102" spans="1:23" x14ac:dyDescent="0.25">
      <c r="A102" s="35" t="str">
        <f t="shared" si="30"/>
        <v>R&amp;DC8</v>
      </c>
      <c r="C102" s="174">
        <f>IF(C101="-","-",IF(C101+1&gt;COUNTA('0. Control Panel'!$C$7:$C$16),"-",'2. Customer Benefit Input'!C101+1))</f>
        <v>5</v>
      </c>
      <c r="D102" s="226" t="str">
        <f>IF(C102="-","-",INDEX('0. Control Panel'!$B$6:$K$16,MATCH('2. Customer Benefit Input'!$C102,'0. Control Panel'!$B$6:$B$16,0),MATCH(D$6,'0. Control Panel'!$B$6:$K$6,0)))</f>
        <v>R&amp;D</v>
      </c>
      <c r="E102" s="174"/>
      <c r="F102" s="214">
        <f>IFERROR(INDEX('1. FTE Allocations'!$A$5:$I$307,MATCH($A102,'1. FTE Allocations'!$A$5:$A$307,0),MATCH(F$4,'1. FTE Allocations'!$A$5:$I$5,0)),0)</f>
        <v>0</v>
      </c>
      <c r="H102" s="288">
        <v>0</v>
      </c>
      <c r="I102" s="289">
        <v>0</v>
      </c>
      <c r="J102" s="290">
        <v>0</v>
      </c>
      <c r="L102" s="215">
        <f>IFERROR(INDEX('1. FTE Allocations'!$A$5:$I$307,MATCH($A102,'1. FTE Allocations'!$A$5:$A$307,0),MATCH(L$4,'1. FTE Allocations'!$A$5:$I$5,0)),0)</f>
        <v>0</v>
      </c>
      <c r="M102" s="211"/>
      <c r="N102" s="294">
        <f t="shared" si="31"/>
        <v>0</v>
      </c>
      <c r="O102" s="297">
        <f t="shared" si="28"/>
        <v>0</v>
      </c>
      <c r="P102" s="298">
        <f t="shared" si="28"/>
        <v>0</v>
      </c>
      <c r="R102" s="112">
        <f t="shared" si="29"/>
        <v>0</v>
      </c>
      <c r="T102" s="288">
        <v>0</v>
      </c>
      <c r="U102" s="289">
        <v>0</v>
      </c>
      <c r="V102" s="290">
        <v>0</v>
      </c>
    </row>
    <row r="103" spans="1:23" x14ac:dyDescent="0.25">
      <c r="A103" s="35" t="str">
        <f t="shared" si="30"/>
        <v>HRC8</v>
      </c>
      <c r="C103" s="174">
        <f>IF(C102="-","-",IF(C102+1&gt;COUNTA('0. Control Panel'!$C$7:$C$16),"-",'2. Customer Benefit Input'!C102+1))</f>
        <v>6</v>
      </c>
      <c r="D103" s="226" t="str">
        <f>IF(C103="-","-",INDEX('0. Control Panel'!$B$6:$K$16,MATCH('2. Customer Benefit Input'!$C103,'0. Control Panel'!$B$6:$B$16,0),MATCH(D$6,'0. Control Panel'!$B$6:$K$6,0)))</f>
        <v>HR</v>
      </c>
      <c r="E103" s="174"/>
      <c r="F103" s="214">
        <f>IFERROR(INDEX('1. FTE Allocations'!$A$5:$I$307,MATCH($A103,'1. FTE Allocations'!$A$5:$A$307,0),MATCH(F$4,'1. FTE Allocations'!$A$5:$I$5,0)),0)</f>
        <v>0</v>
      </c>
      <c r="H103" s="288">
        <v>0</v>
      </c>
      <c r="I103" s="289">
        <v>0</v>
      </c>
      <c r="J103" s="290">
        <v>0</v>
      </c>
      <c r="L103" s="215">
        <f>IFERROR(INDEX('1. FTE Allocations'!$A$5:$I$307,MATCH($A103,'1. FTE Allocations'!$A$5:$A$307,0),MATCH(L$4,'1. FTE Allocations'!$A$5:$I$5,0)),0)</f>
        <v>0</v>
      </c>
      <c r="M103" s="211"/>
      <c r="N103" s="294">
        <f t="shared" si="31"/>
        <v>0</v>
      </c>
      <c r="O103" s="297">
        <f t="shared" si="28"/>
        <v>0</v>
      </c>
      <c r="P103" s="298">
        <f t="shared" si="28"/>
        <v>0</v>
      </c>
      <c r="R103" s="112">
        <f t="shared" si="29"/>
        <v>0</v>
      </c>
      <c r="T103" s="288">
        <v>0</v>
      </c>
      <c r="U103" s="289">
        <v>0</v>
      </c>
      <c r="V103" s="290">
        <v>0</v>
      </c>
    </row>
    <row r="104" spans="1:23" x14ac:dyDescent="0.25">
      <c r="A104" s="35" t="str">
        <f t="shared" si="30"/>
        <v>FinanceC8</v>
      </c>
      <c r="C104" s="174">
        <f>IF(C103="-","-",IF(C103+1&gt;COUNTA('0. Control Panel'!$C$7:$C$16),"-",'2. Customer Benefit Input'!C103+1))</f>
        <v>7</v>
      </c>
      <c r="D104" s="226" t="str">
        <f>IF(C104="-","-",INDEX('0. Control Panel'!$B$6:$K$16,MATCH('2. Customer Benefit Input'!$C104,'0. Control Panel'!$B$6:$B$16,0),MATCH(D$6,'0. Control Panel'!$B$6:$K$6,0)))</f>
        <v>Finance</v>
      </c>
      <c r="E104" s="174"/>
      <c r="F104" s="214">
        <f>IFERROR(INDEX('1. FTE Allocations'!$A$5:$I$307,MATCH($A104,'1. FTE Allocations'!$A$5:$A$307,0),MATCH(F$4,'1. FTE Allocations'!$A$5:$I$5,0)),0)</f>
        <v>0</v>
      </c>
      <c r="H104" s="288">
        <v>0</v>
      </c>
      <c r="I104" s="289">
        <v>0</v>
      </c>
      <c r="J104" s="290">
        <v>0</v>
      </c>
      <c r="L104" s="215">
        <f>IFERROR(INDEX('1. FTE Allocations'!$A$5:$I$307,MATCH($A104,'1. FTE Allocations'!$A$5:$A$307,0),MATCH(L$4,'1. FTE Allocations'!$A$5:$I$5,0)),0)</f>
        <v>0</v>
      </c>
      <c r="M104" s="211"/>
      <c r="N104" s="294">
        <f t="shared" si="31"/>
        <v>0</v>
      </c>
      <c r="O104" s="297">
        <f t="shared" si="28"/>
        <v>0</v>
      </c>
      <c r="P104" s="298">
        <f t="shared" si="28"/>
        <v>0</v>
      </c>
      <c r="R104" s="112">
        <f t="shared" si="29"/>
        <v>0</v>
      </c>
      <c r="T104" s="288">
        <v>0</v>
      </c>
      <c r="U104" s="289">
        <v>0</v>
      </c>
      <c r="V104" s="290">
        <v>0</v>
      </c>
    </row>
    <row r="105" spans="1:23" x14ac:dyDescent="0.25">
      <c r="A105" s="35" t="str">
        <f t="shared" si="30"/>
        <v>Head OfficeC8</v>
      </c>
      <c r="C105" s="174">
        <f>IF(C104="-","-",IF(C104+1&gt;COUNTA('0. Control Panel'!$C$7:$C$16),"-",'2. Customer Benefit Input'!C104+1))</f>
        <v>8</v>
      </c>
      <c r="D105" s="226" t="str">
        <f>IF(C105="-","-",INDEX('0. Control Panel'!$B$6:$K$16,MATCH('2. Customer Benefit Input'!$C105,'0. Control Panel'!$B$6:$B$16,0),MATCH(D$6,'0. Control Panel'!$B$6:$K$6,0)))</f>
        <v>Head Office</v>
      </c>
      <c r="E105" s="174"/>
      <c r="F105" s="214">
        <f>IFERROR(INDEX('1. FTE Allocations'!$A$5:$I$307,MATCH($A105,'1. FTE Allocations'!$A$5:$A$307,0),MATCH(F$4,'1. FTE Allocations'!$A$5:$I$5,0)),0)</f>
        <v>0</v>
      </c>
      <c r="H105" s="288">
        <v>0</v>
      </c>
      <c r="I105" s="289">
        <v>0</v>
      </c>
      <c r="J105" s="290">
        <v>0</v>
      </c>
      <c r="L105" s="215">
        <f>IFERROR(INDEX('1. FTE Allocations'!$A$5:$I$307,MATCH($A105,'1. FTE Allocations'!$A$5:$A$307,0),MATCH(L$4,'1. FTE Allocations'!$A$5:$I$5,0)),0)</f>
        <v>0</v>
      </c>
      <c r="M105" s="211"/>
      <c r="N105" s="294">
        <f t="shared" si="31"/>
        <v>0</v>
      </c>
      <c r="O105" s="297">
        <f t="shared" si="28"/>
        <v>0</v>
      </c>
      <c r="P105" s="298">
        <f t="shared" si="28"/>
        <v>0</v>
      </c>
      <c r="R105" s="112">
        <f t="shared" si="29"/>
        <v>0</v>
      </c>
      <c r="T105" s="288">
        <v>0</v>
      </c>
      <c r="U105" s="289">
        <v>0</v>
      </c>
      <c r="V105" s="290">
        <v>0</v>
      </c>
    </row>
    <row r="106" spans="1:23" x14ac:dyDescent="0.25">
      <c r="A106" s="35" t="str">
        <f t="shared" si="30"/>
        <v>-C8</v>
      </c>
      <c r="C106" s="174" t="str">
        <f>IF(C105="-","-",IF(C105+1&gt;COUNTA('0. Control Panel'!$C$7:$C$16),"-",'2. Customer Benefit Input'!C105+1))</f>
        <v>-</v>
      </c>
      <c r="D106" s="226" t="str">
        <f>IF(C106="-","-",INDEX('0. Control Panel'!$B$6:$K$16,MATCH('2. Customer Benefit Input'!$C106,'0. Control Panel'!$B$6:$B$16,0),MATCH(D$6,'0. Control Panel'!$B$6:$K$6,0)))</f>
        <v>-</v>
      </c>
      <c r="E106" s="174"/>
      <c r="F106" s="214">
        <f>IFERROR(INDEX('1. FTE Allocations'!$A$5:$I$307,MATCH($A106,'1. FTE Allocations'!$A$5:$A$307,0),MATCH(F$4,'1. FTE Allocations'!$A$5:$I$5,0)),0)</f>
        <v>0</v>
      </c>
      <c r="H106" s="288">
        <v>0</v>
      </c>
      <c r="I106" s="289">
        <v>0</v>
      </c>
      <c r="J106" s="290">
        <v>0</v>
      </c>
      <c r="L106" s="215">
        <f>IFERROR(INDEX('1. FTE Allocations'!$A$5:$I$307,MATCH($A106,'1. FTE Allocations'!$A$5:$A$307,0),MATCH(L$4,'1. FTE Allocations'!$A$5:$I$5,0)),0)</f>
        <v>0</v>
      </c>
      <c r="M106" s="211"/>
      <c r="N106" s="294">
        <f t="shared" si="31"/>
        <v>0</v>
      </c>
      <c r="O106" s="297">
        <f t="shared" si="28"/>
        <v>0</v>
      </c>
      <c r="P106" s="298">
        <f t="shared" si="28"/>
        <v>0</v>
      </c>
      <c r="R106" s="112">
        <f t="shared" si="29"/>
        <v>0</v>
      </c>
      <c r="T106" s="288">
        <v>0</v>
      </c>
      <c r="U106" s="289">
        <v>0</v>
      </c>
      <c r="V106" s="290">
        <v>0</v>
      </c>
    </row>
    <row r="107" spans="1:23" x14ac:dyDescent="0.25">
      <c r="A107" s="35" t="str">
        <f t="shared" si="30"/>
        <v>-C8</v>
      </c>
      <c r="C107" s="175" t="str">
        <f>IF(C106="-","-",IF(C106+1&gt;COUNTA('0. Control Panel'!$C$7:$C$16),"-",'2. Customer Benefit Input'!C106+1))</f>
        <v>-</v>
      </c>
      <c r="D107" s="227" t="str">
        <f>IF(C107="-","-",INDEX('0. Control Panel'!$B$6:$K$16,MATCH('2. Customer Benefit Input'!$C107,'0. Control Panel'!$B$6:$B$16,0),MATCH(D$6,'0. Control Panel'!$B$6:$K$6,0)))</f>
        <v>-</v>
      </c>
      <c r="E107" s="175"/>
      <c r="F107" s="216">
        <f>IFERROR(INDEX('1. FTE Allocations'!$A$5:$I$307,MATCH($A107,'1. FTE Allocations'!$A$5:$A$307,0),MATCH(F$4,'1. FTE Allocations'!$A$5:$I$5,0)),0)</f>
        <v>0</v>
      </c>
      <c r="H107" s="291">
        <v>0</v>
      </c>
      <c r="I107" s="292">
        <v>0</v>
      </c>
      <c r="J107" s="293">
        <v>0</v>
      </c>
      <c r="L107" s="217">
        <f>IFERROR(INDEX('1. FTE Allocations'!$A$5:$I$307,MATCH($A107,'1. FTE Allocations'!$A$5:$A$307,0),MATCH(L$4,'1. FTE Allocations'!$A$5:$I$5,0)),0)</f>
        <v>0</v>
      </c>
      <c r="M107" s="211"/>
      <c r="N107" s="299">
        <f t="shared" si="31"/>
        <v>0</v>
      </c>
      <c r="O107" s="300">
        <f t="shared" si="28"/>
        <v>0</v>
      </c>
      <c r="P107" s="301">
        <f t="shared" si="28"/>
        <v>0</v>
      </c>
      <c r="R107" s="317">
        <f t="shared" si="29"/>
        <v>0</v>
      </c>
      <c r="T107" s="291">
        <v>0</v>
      </c>
      <c r="U107" s="292">
        <v>0</v>
      </c>
      <c r="V107" s="293">
        <v>0</v>
      </c>
    </row>
    <row r="108" spans="1:23" x14ac:dyDescent="0.25">
      <c r="D108" s="314" t="s">
        <v>72</v>
      </c>
      <c r="F108" s="315">
        <f>SUM(F98:F107)</f>
        <v>0</v>
      </c>
      <c r="G108" s="35"/>
      <c r="R108" s="316">
        <f>SUM(R98:R107)</f>
        <v>0</v>
      </c>
      <c r="S108" s="35"/>
      <c r="T108" s="35"/>
      <c r="U108" s="35"/>
      <c r="V108" s="35"/>
    </row>
    <row r="109" spans="1:23" ht="9.9499999999999993" customHeight="1" x14ac:dyDescent="0.25">
      <c r="C109" s="51"/>
      <c r="D109" s="220"/>
      <c r="E109" s="51"/>
      <c r="F109" s="313"/>
      <c r="G109" s="35"/>
      <c r="R109" s="164"/>
      <c r="S109" s="35"/>
      <c r="T109" s="35"/>
      <c r="U109" s="35"/>
      <c r="V109" s="35"/>
      <c r="W109" s="51"/>
    </row>
    <row r="110" spans="1:23" ht="15.95" customHeight="1" x14ac:dyDescent="0.25">
      <c r="C110" s="187" t="s">
        <v>20</v>
      </c>
      <c r="D110" s="223" t="str">
        <f>IF(INDEX('0. Control Panel'!$B$19:$C$29,MATCH('2. Customer Benefit Input'!$C110,'0. Control Panel'!$B$19:$B$29,0),2)="","n/a",INDEX('0. Control Panel'!$B$19:$C$29,MATCH('2. Customer Benefit Input'!$C110,'0. Control Panel'!$B$19:$B$29,0),2))</f>
        <v>n/a</v>
      </c>
      <c r="F110" s="218"/>
      <c r="G110" s="35"/>
      <c r="H110" s="35"/>
      <c r="I110" s="35"/>
      <c r="J110" s="35"/>
      <c r="K110" s="35"/>
      <c r="L110" s="35"/>
      <c r="M110" s="35"/>
      <c r="N110" s="35"/>
      <c r="O110" s="35"/>
      <c r="P110" s="35"/>
      <c r="Q110" s="35"/>
      <c r="R110" s="35"/>
      <c r="S110" s="35"/>
      <c r="T110" s="35"/>
      <c r="U110" s="35"/>
      <c r="V110" s="35"/>
    </row>
    <row r="111" spans="1:23" x14ac:dyDescent="0.25">
      <c r="A111" s="35" t="str">
        <f>D111&amp;$C$110</f>
        <v>ITC9</v>
      </c>
      <c r="C111" s="170">
        <f>IF(C108="-","-",IF(C108+1&gt;COUNTA('0. Control Panel'!$C$7:$C$16),"-",'2. Customer Benefit Input'!C108+1))</f>
        <v>1</v>
      </c>
      <c r="D111" s="225" t="str">
        <f>IF(C111="-","-",INDEX('0. Control Panel'!$B$6:$K$16,MATCH('2. Customer Benefit Input'!$C111,'0. Control Panel'!$B$6:$B$16,0),MATCH(D$6,'0. Control Panel'!$B$6:$K$6,0)))</f>
        <v>IT</v>
      </c>
      <c r="E111" s="170"/>
      <c r="F111" s="209">
        <f>IFERROR(INDEX('1. FTE Allocations'!$A$5:$I$307,MATCH($A111,'1. FTE Allocations'!$A$5:$A$307,0),MATCH(F$4,'1. FTE Allocations'!$A$5:$I$5,0)),0)</f>
        <v>0</v>
      </c>
      <c r="H111" s="285">
        <v>0</v>
      </c>
      <c r="I111" s="286">
        <v>0</v>
      </c>
      <c r="J111" s="287">
        <v>0</v>
      </c>
      <c r="L111" s="210">
        <f>IFERROR(INDEX('1. FTE Allocations'!$A$5:$I$307,MATCH($A111,'1. FTE Allocations'!$A$5:$A$307,0),MATCH(L$4,'1. FTE Allocations'!$A$5:$I$5,0)),0)</f>
        <v>0</v>
      </c>
      <c r="M111" s="211"/>
      <c r="N111" s="302">
        <f>$L111</f>
        <v>0</v>
      </c>
      <c r="O111" s="295">
        <f t="shared" ref="O111:P120" si="32">$L111</f>
        <v>0</v>
      </c>
      <c r="P111" s="296">
        <f t="shared" si="32"/>
        <v>0</v>
      </c>
      <c r="R111" s="112">
        <f t="shared" ref="R111:R120" si="33">AVERAGE(T111:V111)</f>
        <v>0</v>
      </c>
      <c r="T111" s="285">
        <v>0</v>
      </c>
      <c r="U111" s="286">
        <v>0</v>
      </c>
      <c r="V111" s="287">
        <v>0</v>
      </c>
    </row>
    <row r="112" spans="1:23" x14ac:dyDescent="0.25">
      <c r="A112" s="35" t="str">
        <f t="shared" ref="A112:A120" si="34">D112&amp;$C$110</f>
        <v>SalesC9</v>
      </c>
      <c r="C112" s="174">
        <f>IF(C111="-","-",IF(C111+1&gt;COUNTA('0. Control Panel'!$C$7:$C$16),"-",'2. Customer Benefit Input'!C111+1))</f>
        <v>2</v>
      </c>
      <c r="D112" s="226" t="str">
        <f>IF(C112="-","-",INDEX('0. Control Panel'!$B$6:$K$16,MATCH('2. Customer Benefit Input'!$C112,'0. Control Panel'!$B$6:$B$16,0),MATCH(D$6,'0. Control Panel'!$B$6:$K$6,0)))</f>
        <v>Sales</v>
      </c>
      <c r="E112" s="174"/>
      <c r="F112" s="214">
        <f>IFERROR(INDEX('1. FTE Allocations'!$A$5:$I$307,MATCH($A112,'1. FTE Allocations'!$A$5:$A$307,0),MATCH(F$4,'1. FTE Allocations'!$A$5:$I$5,0)),0)</f>
        <v>0</v>
      </c>
      <c r="H112" s="288">
        <v>0</v>
      </c>
      <c r="I112" s="289">
        <v>0</v>
      </c>
      <c r="J112" s="290">
        <v>0</v>
      </c>
      <c r="L112" s="215">
        <f>IFERROR(INDEX('1. FTE Allocations'!$A$5:$I$307,MATCH($A112,'1. FTE Allocations'!$A$5:$A$307,0),MATCH(L$4,'1. FTE Allocations'!$A$5:$I$5,0)),0)</f>
        <v>0</v>
      </c>
      <c r="M112" s="211"/>
      <c r="N112" s="294">
        <f t="shared" ref="N112:N120" si="35">$L112</f>
        <v>0</v>
      </c>
      <c r="O112" s="297">
        <f t="shared" si="32"/>
        <v>0</v>
      </c>
      <c r="P112" s="298">
        <f t="shared" si="32"/>
        <v>0</v>
      </c>
      <c r="R112" s="112">
        <f t="shared" si="33"/>
        <v>0</v>
      </c>
      <c r="T112" s="288">
        <v>0</v>
      </c>
      <c r="U112" s="289">
        <v>0</v>
      </c>
      <c r="V112" s="290">
        <v>0</v>
      </c>
    </row>
    <row r="113" spans="1:23" x14ac:dyDescent="0.25">
      <c r="A113" s="35" t="str">
        <f t="shared" si="34"/>
        <v>Product AC9</v>
      </c>
      <c r="C113" s="174">
        <f>IF(C112="-","-",IF(C112+1&gt;COUNTA('0. Control Panel'!$C$7:$C$16),"-",'2. Customer Benefit Input'!C112+1))</f>
        <v>3</v>
      </c>
      <c r="D113" s="226" t="str">
        <f>IF(C113="-","-",INDEX('0. Control Panel'!$B$6:$K$16,MATCH('2. Customer Benefit Input'!$C113,'0. Control Panel'!$B$6:$B$16,0),MATCH(D$6,'0. Control Panel'!$B$6:$K$6,0)))</f>
        <v>Product A</v>
      </c>
      <c r="E113" s="174"/>
      <c r="F113" s="214">
        <f>IFERROR(INDEX('1. FTE Allocations'!$A$5:$I$307,MATCH($A113,'1. FTE Allocations'!$A$5:$A$307,0),MATCH(F$4,'1. FTE Allocations'!$A$5:$I$5,0)),0)</f>
        <v>0</v>
      </c>
      <c r="H113" s="288">
        <v>0</v>
      </c>
      <c r="I113" s="289">
        <v>0</v>
      </c>
      <c r="J113" s="290">
        <v>0</v>
      </c>
      <c r="L113" s="215">
        <f>IFERROR(INDEX('1. FTE Allocations'!$A$5:$I$307,MATCH($A113,'1. FTE Allocations'!$A$5:$A$307,0),MATCH(L$4,'1. FTE Allocations'!$A$5:$I$5,0)),0)</f>
        <v>0</v>
      </c>
      <c r="M113" s="211"/>
      <c r="N113" s="294">
        <f t="shared" si="35"/>
        <v>0</v>
      </c>
      <c r="O113" s="297">
        <f t="shared" si="32"/>
        <v>0</v>
      </c>
      <c r="P113" s="298">
        <f t="shared" si="32"/>
        <v>0</v>
      </c>
      <c r="R113" s="112">
        <f>AVERAGE(T113:V113)</f>
        <v>0</v>
      </c>
      <c r="T113" s="288">
        <v>0</v>
      </c>
      <c r="U113" s="289">
        <v>0</v>
      </c>
      <c r="V113" s="290">
        <v>0</v>
      </c>
    </row>
    <row r="114" spans="1:23" x14ac:dyDescent="0.25">
      <c r="A114" s="35" t="str">
        <f t="shared" si="34"/>
        <v>Product BC9</v>
      </c>
      <c r="C114" s="174">
        <f>IF(C113="-","-",IF(C113+1&gt;COUNTA('0. Control Panel'!$C$7:$C$16),"-",'2. Customer Benefit Input'!C113+1))</f>
        <v>4</v>
      </c>
      <c r="D114" s="226" t="str">
        <f>IF(C114="-","-",INDEX('0. Control Panel'!$B$6:$K$16,MATCH('2. Customer Benefit Input'!$C114,'0. Control Panel'!$B$6:$B$16,0),MATCH(D$6,'0. Control Panel'!$B$6:$K$6,0)))</f>
        <v>Product B</v>
      </c>
      <c r="E114" s="174"/>
      <c r="F114" s="214">
        <f>IFERROR(INDEX('1. FTE Allocations'!$A$5:$I$307,MATCH($A114,'1. FTE Allocations'!$A$5:$A$307,0),MATCH(F$4,'1. FTE Allocations'!$A$5:$I$5,0)),0)</f>
        <v>0</v>
      </c>
      <c r="H114" s="288">
        <v>0</v>
      </c>
      <c r="I114" s="289">
        <v>0</v>
      </c>
      <c r="J114" s="290">
        <v>0</v>
      </c>
      <c r="L114" s="215">
        <f>IFERROR(INDEX('1. FTE Allocations'!$A$5:$I$307,MATCH($A114,'1. FTE Allocations'!$A$5:$A$307,0),MATCH(L$4,'1. FTE Allocations'!$A$5:$I$5,0)),0)</f>
        <v>0</v>
      </c>
      <c r="M114" s="211"/>
      <c r="N114" s="294">
        <f t="shared" si="35"/>
        <v>0</v>
      </c>
      <c r="O114" s="297">
        <f t="shared" si="32"/>
        <v>0</v>
      </c>
      <c r="P114" s="298">
        <f t="shared" si="32"/>
        <v>0</v>
      </c>
      <c r="R114" s="112">
        <f t="shared" si="33"/>
        <v>0</v>
      </c>
      <c r="T114" s="288">
        <v>0</v>
      </c>
      <c r="U114" s="289">
        <v>0</v>
      </c>
      <c r="V114" s="290">
        <v>0</v>
      </c>
    </row>
    <row r="115" spans="1:23" x14ac:dyDescent="0.25">
      <c r="A115" s="35" t="str">
        <f t="shared" si="34"/>
        <v>R&amp;DC9</v>
      </c>
      <c r="C115" s="174">
        <f>IF(C114="-","-",IF(C114+1&gt;COUNTA('0. Control Panel'!$C$7:$C$16),"-",'2. Customer Benefit Input'!C114+1))</f>
        <v>5</v>
      </c>
      <c r="D115" s="226" t="str">
        <f>IF(C115="-","-",INDEX('0. Control Panel'!$B$6:$K$16,MATCH('2. Customer Benefit Input'!$C115,'0. Control Panel'!$B$6:$B$16,0),MATCH(D$6,'0. Control Panel'!$B$6:$K$6,0)))</f>
        <v>R&amp;D</v>
      </c>
      <c r="E115" s="174"/>
      <c r="F115" s="214">
        <f>IFERROR(INDEX('1. FTE Allocations'!$A$5:$I$307,MATCH($A115,'1. FTE Allocations'!$A$5:$A$307,0),MATCH(F$4,'1. FTE Allocations'!$A$5:$I$5,0)),0)</f>
        <v>0</v>
      </c>
      <c r="H115" s="288">
        <v>0</v>
      </c>
      <c r="I115" s="289">
        <v>0</v>
      </c>
      <c r="J115" s="290">
        <v>0</v>
      </c>
      <c r="L115" s="215">
        <f>IFERROR(INDEX('1. FTE Allocations'!$A$5:$I$307,MATCH($A115,'1. FTE Allocations'!$A$5:$A$307,0),MATCH(L$4,'1. FTE Allocations'!$A$5:$I$5,0)),0)</f>
        <v>0</v>
      </c>
      <c r="M115" s="211"/>
      <c r="N115" s="294">
        <f t="shared" si="35"/>
        <v>0</v>
      </c>
      <c r="O115" s="297">
        <f t="shared" si="32"/>
        <v>0</v>
      </c>
      <c r="P115" s="298">
        <f t="shared" si="32"/>
        <v>0</v>
      </c>
      <c r="R115" s="112">
        <f t="shared" si="33"/>
        <v>0</v>
      </c>
      <c r="T115" s="288">
        <v>0</v>
      </c>
      <c r="U115" s="289">
        <v>0</v>
      </c>
      <c r="V115" s="290">
        <v>0</v>
      </c>
    </row>
    <row r="116" spans="1:23" x14ac:dyDescent="0.25">
      <c r="A116" s="35" t="str">
        <f t="shared" si="34"/>
        <v>HRC9</v>
      </c>
      <c r="C116" s="174">
        <f>IF(C115="-","-",IF(C115+1&gt;COUNTA('0. Control Panel'!$C$7:$C$16),"-",'2. Customer Benefit Input'!C115+1))</f>
        <v>6</v>
      </c>
      <c r="D116" s="226" t="str">
        <f>IF(C116="-","-",INDEX('0. Control Panel'!$B$6:$K$16,MATCH('2. Customer Benefit Input'!$C116,'0. Control Panel'!$B$6:$B$16,0),MATCH(D$6,'0. Control Panel'!$B$6:$K$6,0)))</f>
        <v>HR</v>
      </c>
      <c r="E116" s="174"/>
      <c r="F116" s="214">
        <f>IFERROR(INDEX('1. FTE Allocations'!$A$5:$I$307,MATCH($A116,'1. FTE Allocations'!$A$5:$A$307,0),MATCH(F$4,'1. FTE Allocations'!$A$5:$I$5,0)),0)</f>
        <v>0</v>
      </c>
      <c r="H116" s="288">
        <v>0</v>
      </c>
      <c r="I116" s="289">
        <v>0</v>
      </c>
      <c r="J116" s="290">
        <v>0</v>
      </c>
      <c r="L116" s="215">
        <f>IFERROR(INDEX('1. FTE Allocations'!$A$5:$I$307,MATCH($A116,'1. FTE Allocations'!$A$5:$A$307,0),MATCH(L$4,'1. FTE Allocations'!$A$5:$I$5,0)),0)</f>
        <v>0</v>
      </c>
      <c r="M116" s="211"/>
      <c r="N116" s="294">
        <f t="shared" si="35"/>
        <v>0</v>
      </c>
      <c r="O116" s="297">
        <f t="shared" si="32"/>
        <v>0</v>
      </c>
      <c r="P116" s="298">
        <f t="shared" si="32"/>
        <v>0</v>
      </c>
      <c r="R116" s="112">
        <f t="shared" si="33"/>
        <v>0</v>
      </c>
      <c r="T116" s="288">
        <v>0</v>
      </c>
      <c r="U116" s="289">
        <v>0</v>
      </c>
      <c r="V116" s="290">
        <v>0</v>
      </c>
    </row>
    <row r="117" spans="1:23" x14ac:dyDescent="0.25">
      <c r="A117" s="35" t="str">
        <f t="shared" si="34"/>
        <v>FinanceC9</v>
      </c>
      <c r="C117" s="174">
        <f>IF(C116="-","-",IF(C116+1&gt;COUNTA('0. Control Panel'!$C$7:$C$16),"-",'2. Customer Benefit Input'!C116+1))</f>
        <v>7</v>
      </c>
      <c r="D117" s="226" t="str">
        <f>IF(C117="-","-",INDEX('0. Control Panel'!$B$6:$K$16,MATCH('2. Customer Benefit Input'!$C117,'0. Control Panel'!$B$6:$B$16,0),MATCH(D$6,'0. Control Panel'!$B$6:$K$6,0)))</f>
        <v>Finance</v>
      </c>
      <c r="E117" s="174"/>
      <c r="F117" s="214">
        <f>IFERROR(INDEX('1. FTE Allocations'!$A$5:$I$307,MATCH($A117,'1. FTE Allocations'!$A$5:$A$307,0),MATCH(F$4,'1. FTE Allocations'!$A$5:$I$5,0)),0)</f>
        <v>0</v>
      </c>
      <c r="H117" s="288">
        <v>0</v>
      </c>
      <c r="I117" s="289">
        <v>0</v>
      </c>
      <c r="J117" s="290">
        <v>0</v>
      </c>
      <c r="L117" s="215">
        <f>IFERROR(INDEX('1. FTE Allocations'!$A$5:$I$307,MATCH($A117,'1. FTE Allocations'!$A$5:$A$307,0),MATCH(L$4,'1. FTE Allocations'!$A$5:$I$5,0)),0)</f>
        <v>0</v>
      </c>
      <c r="M117" s="211"/>
      <c r="N117" s="294">
        <f t="shared" si="35"/>
        <v>0</v>
      </c>
      <c r="O117" s="297">
        <f t="shared" si="32"/>
        <v>0</v>
      </c>
      <c r="P117" s="298">
        <f t="shared" si="32"/>
        <v>0</v>
      </c>
      <c r="R117" s="112">
        <f t="shared" si="33"/>
        <v>0</v>
      </c>
      <c r="T117" s="288">
        <v>0</v>
      </c>
      <c r="U117" s="289">
        <v>0</v>
      </c>
      <c r="V117" s="290">
        <v>0</v>
      </c>
    </row>
    <row r="118" spans="1:23" x14ac:dyDescent="0.25">
      <c r="A118" s="35" t="str">
        <f t="shared" si="34"/>
        <v>Head OfficeC9</v>
      </c>
      <c r="C118" s="174">
        <f>IF(C117="-","-",IF(C117+1&gt;COUNTA('0. Control Panel'!$C$7:$C$16),"-",'2. Customer Benefit Input'!C117+1))</f>
        <v>8</v>
      </c>
      <c r="D118" s="226" t="str">
        <f>IF(C118="-","-",INDEX('0. Control Panel'!$B$6:$K$16,MATCH('2. Customer Benefit Input'!$C118,'0. Control Panel'!$B$6:$B$16,0),MATCH(D$6,'0. Control Panel'!$B$6:$K$6,0)))</f>
        <v>Head Office</v>
      </c>
      <c r="E118" s="174"/>
      <c r="F118" s="214">
        <f>IFERROR(INDEX('1. FTE Allocations'!$A$5:$I$307,MATCH($A118,'1. FTE Allocations'!$A$5:$A$307,0),MATCH(F$4,'1. FTE Allocations'!$A$5:$I$5,0)),0)</f>
        <v>0</v>
      </c>
      <c r="H118" s="288">
        <v>0</v>
      </c>
      <c r="I118" s="289">
        <v>0</v>
      </c>
      <c r="J118" s="290">
        <v>0</v>
      </c>
      <c r="L118" s="215">
        <f>IFERROR(INDEX('1. FTE Allocations'!$A$5:$I$307,MATCH($A118,'1. FTE Allocations'!$A$5:$A$307,0),MATCH(L$4,'1. FTE Allocations'!$A$5:$I$5,0)),0)</f>
        <v>0</v>
      </c>
      <c r="M118" s="211"/>
      <c r="N118" s="294">
        <f t="shared" si="35"/>
        <v>0</v>
      </c>
      <c r="O118" s="297">
        <f t="shared" si="32"/>
        <v>0</v>
      </c>
      <c r="P118" s="298">
        <f t="shared" si="32"/>
        <v>0</v>
      </c>
      <c r="R118" s="112">
        <f t="shared" si="33"/>
        <v>0</v>
      </c>
      <c r="T118" s="288">
        <v>0</v>
      </c>
      <c r="U118" s="289">
        <v>0</v>
      </c>
      <c r="V118" s="290">
        <v>0</v>
      </c>
    </row>
    <row r="119" spans="1:23" x14ac:dyDescent="0.25">
      <c r="A119" s="35" t="str">
        <f t="shared" si="34"/>
        <v>-C9</v>
      </c>
      <c r="C119" s="174" t="str">
        <f>IF(C118="-","-",IF(C118+1&gt;COUNTA('0. Control Panel'!$C$7:$C$16),"-",'2. Customer Benefit Input'!C118+1))</f>
        <v>-</v>
      </c>
      <c r="D119" s="226" t="str">
        <f>IF(C119="-","-",INDEX('0. Control Panel'!$B$6:$K$16,MATCH('2. Customer Benefit Input'!$C119,'0. Control Panel'!$B$6:$B$16,0),MATCH(D$6,'0. Control Panel'!$B$6:$K$6,0)))</f>
        <v>-</v>
      </c>
      <c r="E119" s="174"/>
      <c r="F119" s="214">
        <f>IFERROR(INDEX('1. FTE Allocations'!$A$5:$I$307,MATCH($A119,'1. FTE Allocations'!$A$5:$A$307,0),MATCH(F$4,'1. FTE Allocations'!$A$5:$I$5,0)),0)</f>
        <v>0</v>
      </c>
      <c r="H119" s="288">
        <v>0</v>
      </c>
      <c r="I119" s="289">
        <v>0</v>
      </c>
      <c r="J119" s="290">
        <v>0</v>
      </c>
      <c r="L119" s="215">
        <f>IFERROR(INDEX('1. FTE Allocations'!$A$5:$I$307,MATCH($A119,'1. FTE Allocations'!$A$5:$A$307,0),MATCH(L$4,'1. FTE Allocations'!$A$5:$I$5,0)),0)</f>
        <v>0</v>
      </c>
      <c r="M119" s="211"/>
      <c r="N119" s="294">
        <f t="shared" si="35"/>
        <v>0</v>
      </c>
      <c r="O119" s="297">
        <f t="shared" si="32"/>
        <v>0</v>
      </c>
      <c r="P119" s="298">
        <f t="shared" si="32"/>
        <v>0</v>
      </c>
      <c r="R119" s="112">
        <f t="shared" si="33"/>
        <v>0</v>
      </c>
      <c r="T119" s="288">
        <v>0</v>
      </c>
      <c r="U119" s="289">
        <v>0</v>
      </c>
      <c r="V119" s="290">
        <v>0</v>
      </c>
    </row>
    <row r="120" spans="1:23" x14ac:dyDescent="0.25">
      <c r="A120" s="35" t="str">
        <f t="shared" si="34"/>
        <v>-C9</v>
      </c>
      <c r="C120" s="175" t="str">
        <f>IF(C119="-","-",IF(C119+1&gt;COUNTA('0. Control Panel'!$C$7:$C$16),"-",'2. Customer Benefit Input'!C119+1))</f>
        <v>-</v>
      </c>
      <c r="D120" s="227" t="str">
        <f>IF(C120="-","-",INDEX('0. Control Panel'!$B$6:$K$16,MATCH('2. Customer Benefit Input'!$C120,'0. Control Panel'!$B$6:$B$16,0),MATCH(D$6,'0. Control Panel'!$B$6:$K$6,0)))</f>
        <v>-</v>
      </c>
      <c r="E120" s="175"/>
      <c r="F120" s="216">
        <f>IFERROR(INDEX('1. FTE Allocations'!$A$5:$I$307,MATCH($A120,'1. FTE Allocations'!$A$5:$A$307,0),MATCH(F$4,'1. FTE Allocations'!$A$5:$I$5,0)),0)</f>
        <v>0</v>
      </c>
      <c r="H120" s="291">
        <v>0</v>
      </c>
      <c r="I120" s="292">
        <v>0</v>
      </c>
      <c r="J120" s="293">
        <v>0</v>
      </c>
      <c r="L120" s="217">
        <f>IFERROR(INDEX('1. FTE Allocations'!$A$5:$I$307,MATCH($A120,'1. FTE Allocations'!$A$5:$A$307,0),MATCH(L$4,'1. FTE Allocations'!$A$5:$I$5,0)),0)</f>
        <v>0</v>
      </c>
      <c r="M120" s="211"/>
      <c r="N120" s="299">
        <f t="shared" si="35"/>
        <v>0</v>
      </c>
      <c r="O120" s="300">
        <f t="shared" si="32"/>
        <v>0</v>
      </c>
      <c r="P120" s="301">
        <f t="shared" si="32"/>
        <v>0</v>
      </c>
      <c r="R120" s="317">
        <f t="shared" si="33"/>
        <v>0</v>
      </c>
      <c r="T120" s="291">
        <v>0</v>
      </c>
      <c r="U120" s="292">
        <v>0</v>
      </c>
      <c r="V120" s="293">
        <v>0</v>
      </c>
    </row>
    <row r="121" spans="1:23" x14ac:dyDescent="0.25">
      <c r="C121" s="51"/>
      <c r="D121" s="314" t="s">
        <v>72</v>
      </c>
      <c r="E121" s="51"/>
      <c r="F121" s="315">
        <f>SUM(F111:F120)</f>
        <v>0</v>
      </c>
      <c r="G121" s="35"/>
      <c r="R121" s="316">
        <f>SUM(R111:R120)</f>
        <v>0</v>
      </c>
      <c r="S121" s="35"/>
      <c r="T121" s="35"/>
      <c r="U121" s="35"/>
      <c r="V121" s="35"/>
      <c r="W121" s="51"/>
    </row>
    <row r="122" spans="1:23" ht="9.9499999999999993" customHeight="1" x14ac:dyDescent="0.25">
      <c r="C122" s="51"/>
      <c r="D122" s="220"/>
      <c r="E122" s="51"/>
      <c r="F122" s="313"/>
      <c r="G122" s="35"/>
      <c r="R122" s="164"/>
      <c r="S122" s="35"/>
      <c r="T122" s="35"/>
      <c r="U122" s="35"/>
      <c r="V122" s="35"/>
      <c r="W122" s="51"/>
    </row>
    <row r="123" spans="1:23" ht="15.95" customHeight="1" x14ac:dyDescent="0.25">
      <c r="C123" s="187" t="s">
        <v>21</v>
      </c>
      <c r="D123" s="223" t="str">
        <f>IF(INDEX('0. Control Panel'!$B$19:$C$29,MATCH('2. Customer Benefit Input'!$C123,'0. Control Panel'!$B$19:$B$29,0),2)="","n/a",INDEX('0. Control Panel'!$B$19:$C$29,MATCH('2. Customer Benefit Input'!$C123,'0. Control Panel'!$B$19:$B$29,0),2))</f>
        <v>n/a</v>
      </c>
      <c r="F123" s="218"/>
      <c r="G123" s="35"/>
      <c r="H123" s="35"/>
      <c r="I123" s="35"/>
      <c r="J123" s="35"/>
      <c r="K123" s="35"/>
      <c r="L123" s="35"/>
      <c r="M123" s="35"/>
      <c r="N123" s="35"/>
      <c r="O123" s="35"/>
      <c r="P123" s="35"/>
      <c r="Q123" s="35"/>
      <c r="R123" s="35"/>
      <c r="S123" s="35"/>
      <c r="T123" s="35"/>
      <c r="U123" s="35"/>
      <c r="V123" s="35"/>
    </row>
    <row r="124" spans="1:23" x14ac:dyDescent="0.25">
      <c r="A124" s="35" t="str">
        <f>D124&amp;$C$123</f>
        <v>ITC10</v>
      </c>
      <c r="C124" s="170">
        <f>IF(C121="-","-",IF(C121+1&gt;COUNTA('0. Control Panel'!$C$7:$C$16),"-",'2. Customer Benefit Input'!C121+1))</f>
        <v>1</v>
      </c>
      <c r="D124" s="225" t="str">
        <f>IF(C124="-","-",INDEX('0. Control Panel'!$B$6:$K$16,MATCH('2. Customer Benefit Input'!$C124,'0. Control Panel'!$B$6:$B$16,0),MATCH(D$6,'0. Control Panel'!$B$6:$K$6,0)))</f>
        <v>IT</v>
      </c>
      <c r="E124" s="170"/>
      <c r="F124" s="209">
        <f>IFERROR(INDEX('1. FTE Allocations'!$A$5:$I$307,MATCH($A124,'1. FTE Allocations'!$A$5:$A$307,0),MATCH(F$4,'1. FTE Allocations'!$A$5:$I$5,0)),0)</f>
        <v>0</v>
      </c>
      <c r="H124" s="285">
        <v>0</v>
      </c>
      <c r="I124" s="286">
        <v>0</v>
      </c>
      <c r="J124" s="287">
        <v>0</v>
      </c>
      <c r="L124" s="210">
        <f>IFERROR(INDEX('1. FTE Allocations'!$A$5:$I$307,MATCH($A124,'1. FTE Allocations'!$A$5:$A$307,0),MATCH(L$4,'1. FTE Allocations'!$A$5:$I$5,0)),0)</f>
        <v>0</v>
      </c>
      <c r="M124" s="211"/>
      <c r="N124" s="302">
        <f>$L124</f>
        <v>0</v>
      </c>
      <c r="O124" s="295">
        <f t="shared" ref="O124:P133" si="36">$L124</f>
        <v>0</v>
      </c>
      <c r="P124" s="296">
        <f t="shared" si="36"/>
        <v>0</v>
      </c>
      <c r="R124" s="112">
        <f t="shared" ref="R124:R133" si="37">AVERAGE(T124:V124)</f>
        <v>0</v>
      </c>
      <c r="T124" s="285">
        <v>0</v>
      </c>
      <c r="U124" s="286">
        <v>0</v>
      </c>
      <c r="V124" s="287">
        <v>0</v>
      </c>
    </row>
    <row r="125" spans="1:23" x14ac:dyDescent="0.25">
      <c r="A125" s="35" t="str">
        <f t="shared" ref="A125:A133" si="38">D125&amp;$C$123</f>
        <v>SalesC10</v>
      </c>
      <c r="C125" s="174">
        <f>IF(C124="-","-",IF(C124+1&gt;COUNTA('0. Control Panel'!$C$7:$C$16),"-",'2. Customer Benefit Input'!C124+1))</f>
        <v>2</v>
      </c>
      <c r="D125" s="226" t="str">
        <f>IF(C125="-","-",INDEX('0. Control Panel'!$B$6:$K$16,MATCH('2. Customer Benefit Input'!$C125,'0. Control Panel'!$B$6:$B$16,0),MATCH(D$6,'0. Control Panel'!$B$6:$K$6,0)))</f>
        <v>Sales</v>
      </c>
      <c r="E125" s="174"/>
      <c r="F125" s="214">
        <f>IFERROR(INDEX('1. FTE Allocations'!$A$5:$I$307,MATCH($A125,'1. FTE Allocations'!$A$5:$A$307,0),MATCH(F$4,'1. FTE Allocations'!$A$5:$I$5,0)),0)</f>
        <v>0</v>
      </c>
      <c r="H125" s="288">
        <v>0</v>
      </c>
      <c r="I125" s="289">
        <v>0</v>
      </c>
      <c r="J125" s="290">
        <v>0</v>
      </c>
      <c r="L125" s="215">
        <f>IFERROR(INDEX('1. FTE Allocations'!$A$5:$I$307,MATCH($A125,'1. FTE Allocations'!$A$5:$A$307,0),MATCH(L$4,'1. FTE Allocations'!$A$5:$I$5,0)),0)</f>
        <v>0</v>
      </c>
      <c r="M125" s="211"/>
      <c r="N125" s="294">
        <f t="shared" ref="N125:N133" si="39">$L125</f>
        <v>0</v>
      </c>
      <c r="O125" s="297">
        <f t="shared" si="36"/>
        <v>0</v>
      </c>
      <c r="P125" s="298">
        <f t="shared" si="36"/>
        <v>0</v>
      </c>
      <c r="R125" s="112">
        <f t="shared" si="37"/>
        <v>0</v>
      </c>
      <c r="T125" s="288">
        <v>0</v>
      </c>
      <c r="U125" s="289">
        <v>0</v>
      </c>
      <c r="V125" s="290">
        <v>0</v>
      </c>
    </row>
    <row r="126" spans="1:23" x14ac:dyDescent="0.25">
      <c r="A126" s="35" t="str">
        <f t="shared" si="38"/>
        <v>Product AC10</v>
      </c>
      <c r="C126" s="174">
        <f>IF(C125="-","-",IF(C125+1&gt;COUNTA('0. Control Panel'!$C$7:$C$16),"-",'2. Customer Benefit Input'!C125+1))</f>
        <v>3</v>
      </c>
      <c r="D126" s="226" t="str">
        <f>IF(C126="-","-",INDEX('0. Control Panel'!$B$6:$K$16,MATCH('2. Customer Benefit Input'!$C126,'0. Control Panel'!$B$6:$B$16,0),MATCH(D$6,'0. Control Panel'!$B$6:$K$6,0)))</f>
        <v>Product A</v>
      </c>
      <c r="E126" s="174"/>
      <c r="F126" s="214">
        <f>IFERROR(INDEX('1. FTE Allocations'!$A$5:$I$307,MATCH($A126,'1. FTE Allocations'!$A$5:$A$307,0),MATCH(F$4,'1. FTE Allocations'!$A$5:$I$5,0)),0)</f>
        <v>0</v>
      </c>
      <c r="H126" s="288">
        <v>0</v>
      </c>
      <c r="I126" s="289">
        <v>0</v>
      </c>
      <c r="J126" s="290">
        <v>0</v>
      </c>
      <c r="L126" s="215">
        <f>IFERROR(INDEX('1. FTE Allocations'!$A$5:$I$307,MATCH($A126,'1. FTE Allocations'!$A$5:$A$307,0),MATCH(L$4,'1. FTE Allocations'!$A$5:$I$5,0)),0)</f>
        <v>0</v>
      </c>
      <c r="M126" s="211"/>
      <c r="N126" s="294">
        <f t="shared" si="39"/>
        <v>0</v>
      </c>
      <c r="O126" s="297">
        <f t="shared" si="36"/>
        <v>0</v>
      </c>
      <c r="P126" s="298">
        <f t="shared" si="36"/>
        <v>0</v>
      </c>
      <c r="R126" s="112">
        <f>AVERAGE(T126:V126)</f>
        <v>0</v>
      </c>
      <c r="T126" s="288">
        <v>0</v>
      </c>
      <c r="U126" s="289">
        <v>0</v>
      </c>
      <c r="V126" s="290">
        <v>0</v>
      </c>
    </row>
    <row r="127" spans="1:23" x14ac:dyDescent="0.25">
      <c r="A127" s="35" t="str">
        <f t="shared" si="38"/>
        <v>Product BC10</v>
      </c>
      <c r="C127" s="174">
        <f>IF(C126="-","-",IF(C126+1&gt;COUNTA('0. Control Panel'!$C$7:$C$16),"-",'2. Customer Benefit Input'!C126+1))</f>
        <v>4</v>
      </c>
      <c r="D127" s="226" t="str">
        <f>IF(C127="-","-",INDEX('0. Control Panel'!$B$6:$K$16,MATCH('2. Customer Benefit Input'!$C127,'0. Control Panel'!$B$6:$B$16,0),MATCH(D$6,'0. Control Panel'!$B$6:$K$6,0)))</f>
        <v>Product B</v>
      </c>
      <c r="E127" s="174"/>
      <c r="F127" s="214">
        <f>IFERROR(INDEX('1. FTE Allocations'!$A$5:$I$307,MATCH($A127,'1. FTE Allocations'!$A$5:$A$307,0),MATCH(F$4,'1. FTE Allocations'!$A$5:$I$5,0)),0)</f>
        <v>0</v>
      </c>
      <c r="H127" s="288">
        <v>0</v>
      </c>
      <c r="I127" s="289">
        <v>0</v>
      </c>
      <c r="J127" s="290">
        <v>0</v>
      </c>
      <c r="L127" s="215">
        <f>IFERROR(INDEX('1. FTE Allocations'!$A$5:$I$307,MATCH($A127,'1. FTE Allocations'!$A$5:$A$307,0),MATCH(L$4,'1. FTE Allocations'!$A$5:$I$5,0)),0)</f>
        <v>0</v>
      </c>
      <c r="M127" s="211"/>
      <c r="N127" s="294">
        <f t="shared" si="39"/>
        <v>0</v>
      </c>
      <c r="O127" s="297">
        <f t="shared" si="36"/>
        <v>0</v>
      </c>
      <c r="P127" s="298">
        <f t="shared" si="36"/>
        <v>0</v>
      </c>
      <c r="R127" s="112">
        <f t="shared" si="37"/>
        <v>0</v>
      </c>
      <c r="T127" s="288">
        <v>0</v>
      </c>
      <c r="U127" s="289">
        <v>0</v>
      </c>
      <c r="V127" s="290">
        <v>0</v>
      </c>
    </row>
    <row r="128" spans="1:23" x14ac:dyDescent="0.25">
      <c r="A128" s="35" t="str">
        <f t="shared" si="38"/>
        <v>R&amp;DC10</v>
      </c>
      <c r="C128" s="174">
        <f>IF(C127="-","-",IF(C127+1&gt;COUNTA('0. Control Panel'!$C$7:$C$16),"-",'2. Customer Benefit Input'!C127+1))</f>
        <v>5</v>
      </c>
      <c r="D128" s="226" t="str">
        <f>IF(C128="-","-",INDEX('0. Control Panel'!$B$6:$K$16,MATCH('2. Customer Benefit Input'!$C128,'0. Control Panel'!$B$6:$B$16,0),MATCH(D$6,'0. Control Panel'!$B$6:$K$6,0)))</f>
        <v>R&amp;D</v>
      </c>
      <c r="E128" s="174"/>
      <c r="F128" s="214">
        <f>IFERROR(INDEX('1. FTE Allocations'!$A$5:$I$307,MATCH($A128,'1. FTE Allocations'!$A$5:$A$307,0),MATCH(F$4,'1. FTE Allocations'!$A$5:$I$5,0)),0)</f>
        <v>0</v>
      </c>
      <c r="H128" s="288">
        <v>0</v>
      </c>
      <c r="I128" s="289">
        <v>0</v>
      </c>
      <c r="J128" s="290">
        <v>0</v>
      </c>
      <c r="L128" s="215">
        <f>IFERROR(INDEX('1. FTE Allocations'!$A$5:$I$307,MATCH($A128,'1. FTE Allocations'!$A$5:$A$307,0),MATCH(L$4,'1. FTE Allocations'!$A$5:$I$5,0)),0)</f>
        <v>0</v>
      </c>
      <c r="M128" s="211"/>
      <c r="N128" s="294">
        <f t="shared" si="39"/>
        <v>0</v>
      </c>
      <c r="O128" s="297">
        <f t="shared" si="36"/>
        <v>0</v>
      </c>
      <c r="P128" s="298">
        <f t="shared" si="36"/>
        <v>0</v>
      </c>
      <c r="R128" s="112">
        <f t="shared" si="37"/>
        <v>0</v>
      </c>
      <c r="T128" s="288">
        <v>0</v>
      </c>
      <c r="U128" s="289">
        <v>0</v>
      </c>
      <c r="V128" s="290">
        <v>0</v>
      </c>
    </row>
    <row r="129" spans="1:22" x14ac:dyDescent="0.25">
      <c r="A129" s="35" t="str">
        <f t="shared" si="38"/>
        <v>HRC10</v>
      </c>
      <c r="C129" s="174">
        <f>IF(C128="-","-",IF(C128+1&gt;COUNTA('0. Control Panel'!$C$7:$C$16),"-",'2. Customer Benefit Input'!C128+1))</f>
        <v>6</v>
      </c>
      <c r="D129" s="226" t="str">
        <f>IF(C129="-","-",INDEX('0. Control Panel'!$B$6:$K$16,MATCH('2. Customer Benefit Input'!$C129,'0. Control Panel'!$B$6:$B$16,0),MATCH(D$6,'0. Control Panel'!$B$6:$K$6,0)))</f>
        <v>HR</v>
      </c>
      <c r="E129" s="174"/>
      <c r="F129" s="214">
        <f>IFERROR(INDEX('1. FTE Allocations'!$A$5:$I$307,MATCH($A129,'1. FTE Allocations'!$A$5:$A$307,0),MATCH(F$4,'1. FTE Allocations'!$A$5:$I$5,0)),0)</f>
        <v>0</v>
      </c>
      <c r="H129" s="288">
        <v>0</v>
      </c>
      <c r="I129" s="289">
        <v>0</v>
      </c>
      <c r="J129" s="290">
        <v>0</v>
      </c>
      <c r="L129" s="215">
        <f>IFERROR(INDEX('1. FTE Allocations'!$A$5:$I$307,MATCH($A129,'1. FTE Allocations'!$A$5:$A$307,0),MATCH(L$4,'1. FTE Allocations'!$A$5:$I$5,0)),0)</f>
        <v>0</v>
      </c>
      <c r="M129" s="211"/>
      <c r="N129" s="294">
        <f t="shared" si="39"/>
        <v>0</v>
      </c>
      <c r="O129" s="297">
        <f t="shared" si="36"/>
        <v>0</v>
      </c>
      <c r="P129" s="298">
        <f t="shared" si="36"/>
        <v>0</v>
      </c>
      <c r="R129" s="112">
        <f t="shared" si="37"/>
        <v>0</v>
      </c>
      <c r="T129" s="288">
        <v>0</v>
      </c>
      <c r="U129" s="289">
        <v>0</v>
      </c>
      <c r="V129" s="290">
        <v>0</v>
      </c>
    </row>
    <row r="130" spans="1:22" x14ac:dyDescent="0.25">
      <c r="A130" s="35" t="str">
        <f t="shared" si="38"/>
        <v>FinanceC10</v>
      </c>
      <c r="C130" s="174">
        <f>IF(C129="-","-",IF(C129+1&gt;COUNTA('0. Control Panel'!$C$7:$C$16),"-",'2. Customer Benefit Input'!C129+1))</f>
        <v>7</v>
      </c>
      <c r="D130" s="226" t="str">
        <f>IF(C130="-","-",INDEX('0. Control Panel'!$B$6:$K$16,MATCH('2. Customer Benefit Input'!$C130,'0. Control Panel'!$B$6:$B$16,0),MATCH(D$6,'0. Control Panel'!$B$6:$K$6,0)))</f>
        <v>Finance</v>
      </c>
      <c r="E130" s="174"/>
      <c r="F130" s="214">
        <f>IFERROR(INDEX('1. FTE Allocations'!$A$5:$I$307,MATCH($A130,'1. FTE Allocations'!$A$5:$A$307,0),MATCH(F$4,'1. FTE Allocations'!$A$5:$I$5,0)),0)</f>
        <v>0</v>
      </c>
      <c r="H130" s="288">
        <v>0</v>
      </c>
      <c r="I130" s="289">
        <v>0</v>
      </c>
      <c r="J130" s="290">
        <v>0</v>
      </c>
      <c r="L130" s="215">
        <f>IFERROR(INDEX('1. FTE Allocations'!$A$5:$I$307,MATCH($A130,'1. FTE Allocations'!$A$5:$A$307,0),MATCH(L$4,'1. FTE Allocations'!$A$5:$I$5,0)),0)</f>
        <v>0</v>
      </c>
      <c r="M130" s="211"/>
      <c r="N130" s="294">
        <f t="shared" si="39"/>
        <v>0</v>
      </c>
      <c r="O130" s="297">
        <f t="shared" si="36"/>
        <v>0</v>
      </c>
      <c r="P130" s="298">
        <f t="shared" si="36"/>
        <v>0</v>
      </c>
      <c r="R130" s="112">
        <f t="shared" si="37"/>
        <v>0</v>
      </c>
      <c r="T130" s="288">
        <v>0</v>
      </c>
      <c r="U130" s="289">
        <v>0</v>
      </c>
      <c r="V130" s="290">
        <v>0</v>
      </c>
    </row>
    <row r="131" spans="1:22" x14ac:dyDescent="0.25">
      <c r="A131" s="35" t="str">
        <f t="shared" si="38"/>
        <v>Head OfficeC10</v>
      </c>
      <c r="C131" s="174">
        <f>IF(C130="-","-",IF(C130+1&gt;COUNTA('0. Control Panel'!$C$7:$C$16),"-",'2. Customer Benefit Input'!C130+1))</f>
        <v>8</v>
      </c>
      <c r="D131" s="226" t="str">
        <f>IF(C131="-","-",INDEX('0. Control Panel'!$B$6:$K$16,MATCH('2. Customer Benefit Input'!$C131,'0. Control Panel'!$B$6:$B$16,0),MATCH(D$6,'0. Control Panel'!$B$6:$K$6,0)))</f>
        <v>Head Office</v>
      </c>
      <c r="E131" s="174"/>
      <c r="F131" s="214">
        <f>IFERROR(INDEX('1. FTE Allocations'!$A$5:$I$307,MATCH($A131,'1. FTE Allocations'!$A$5:$A$307,0),MATCH(F$4,'1. FTE Allocations'!$A$5:$I$5,0)),0)</f>
        <v>0</v>
      </c>
      <c r="H131" s="288">
        <v>0</v>
      </c>
      <c r="I131" s="289">
        <v>0</v>
      </c>
      <c r="J131" s="290">
        <v>0</v>
      </c>
      <c r="L131" s="215">
        <f>IFERROR(INDEX('1. FTE Allocations'!$A$5:$I$307,MATCH($A131,'1. FTE Allocations'!$A$5:$A$307,0),MATCH(L$4,'1. FTE Allocations'!$A$5:$I$5,0)),0)</f>
        <v>0</v>
      </c>
      <c r="M131" s="211"/>
      <c r="N131" s="294">
        <f t="shared" si="39"/>
        <v>0</v>
      </c>
      <c r="O131" s="297">
        <f t="shared" si="36"/>
        <v>0</v>
      </c>
      <c r="P131" s="298">
        <f t="shared" si="36"/>
        <v>0</v>
      </c>
      <c r="R131" s="112">
        <f t="shared" si="37"/>
        <v>0</v>
      </c>
      <c r="T131" s="288">
        <v>0</v>
      </c>
      <c r="U131" s="289">
        <v>0</v>
      </c>
      <c r="V131" s="290">
        <v>0</v>
      </c>
    </row>
    <row r="132" spans="1:22" x14ac:dyDescent="0.25">
      <c r="A132" s="35" t="str">
        <f t="shared" si="38"/>
        <v>-C10</v>
      </c>
      <c r="C132" s="174" t="str">
        <f>IF(C131="-","-",IF(C131+1&gt;COUNTA('0. Control Panel'!$C$7:$C$16),"-",'2. Customer Benefit Input'!C131+1))</f>
        <v>-</v>
      </c>
      <c r="D132" s="226" t="str">
        <f>IF(C132="-","-",INDEX('0. Control Panel'!$B$6:$K$16,MATCH('2. Customer Benefit Input'!$C132,'0. Control Panel'!$B$6:$B$16,0),MATCH(D$6,'0. Control Panel'!$B$6:$K$6,0)))</f>
        <v>-</v>
      </c>
      <c r="E132" s="174"/>
      <c r="F132" s="214">
        <f>IFERROR(INDEX('1. FTE Allocations'!$A$5:$I$307,MATCH($A132,'1. FTE Allocations'!$A$5:$A$307,0),MATCH(F$4,'1. FTE Allocations'!$A$5:$I$5,0)),0)</f>
        <v>0</v>
      </c>
      <c r="H132" s="288">
        <v>0</v>
      </c>
      <c r="I132" s="289">
        <v>0</v>
      </c>
      <c r="J132" s="290">
        <v>0</v>
      </c>
      <c r="L132" s="215">
        <f>IFERROR(INDEX('1. FTE Allocations'!$A$5:$I$307,MATCH($A132,'1. FTE Allocations'!$A$5:$A$307,0),MATCH(L$4,'1. FTE Allocations'!$A$5:$I$5,0)),0)</f>
        <v>0</v>
      </c>
      <c r="M132" s="211"/>
      <c r="N132" s="294">
        <f t="shared" si="39"/>
        <v>0</v>
      </c>
      <c r="O132" s="297">
        <f t="shared" si="36"/>
        <v>0</v>
      </c>
      <c r="P132" s="298">
        <f t="shared" si="36"/>
        <v>0</v>
      </c>
      <c r="R132" s="112">
        <f t="shared" si="37"/>
        <v>0</v>
      </c>
      <c r="T132" s="288">
        <v>0</v>
      </c>
      <c r="U132" s="289">
        <v>0</v>
      </c>
      <c r="V132" s="290">
        <v>0</v>
      </c>
    </row>
    <row r="133" spans="1:22" x14ac:dyDescent="0.25">
      <c r="A133" s="35" t="str">
        <f t="shared" si="38"/>
        <v>-C10</v>
      </c>
      <c r="C133" s="175" t="str">
        <f>IF(C132="-","-",IF(C132+1&gt;COUNTA('0. Control Panel'!$C$7:$C$16),"-",'2. Customer Benefit Input'!C132+1))</f>
        <v>-</v>
      </c>
      <c r="D133" s="227" t="str">
        <f>IF(C133="-","-",INDEX('0. Control Panel'!$B$6:$K$16,MATCH('2. Customer Benefit Input'!$C133,'0. Control Panel'!$B$6:$B$16,0),MATCH(D$6,'0. Control Panel'!$B$6:$K$6,0)))</f>
        <v>-</v>
      </c>
      <c r="E133" s="175"/>
      <c r="F133" s="216">
        <f>IFERROR(INDEX('1. FTE Allocations'!$A$5:$I$307,MATCH($A133,'1. FTE Allocations'!$A$5:$A$307,0),MATCH(F$4,'1. FTE Allocations'!$A$5:$I$5,0)),0)</f>
        <v>0</v>
      </c>
      <c r="H133" s="291">
        <v>0</v>
      </c>
      <c r="I133" s="292">
        <v>0</v>
      </c>
      <c r="J133" s="293">
        <v>0</v>
      </c>
      <c r="L133" s="217">
        <f>IFERROR(INDEX('1. FTE Allocations'!$A$5:$I$307,MATCH($A133,'1. FTE Allocations'!$A$5:$A$307,0),MATCH(L$4,'1. FTE Allocations'!$A$5:$I$5,0)),0)</f>
        <v>0</v>
      </c>
      <c r="M133" s="211"/>
      <c r="N133" s="299">
        <f t="shared" si="39"/>
        <v>0</v>
      </c>
      <c r="O133" s="300">
        <f t="shared" si="36"/>
        <v>0</v>
      </c>
      <c r="P133" s="301">
        <f t="shared" si="36"/>
        <v>0</v>
      </c>
      <c r="R133" s="317">
        <f t="shared" si="37"/>
        <v>0</v>
      </c>
      <c r="T133" s="291">
        <v>0</v>
      </c>
      <c r="U133" s="292">
        <v>0</v>
      </c>
      <c r="V133" s="293">
        <v>0</v>
      </c>
    </row>
    <row r="134" spans="1:22" x14ac:dyDescent="0.25">
      <c r="D134" s="314" t="s">
        <v>72</v>
      </c>
      <c r="F134" s="315">
        <f>SUM(F124:F133)</f>
        <v>0</v>
      </c>
      <c r="G134" s="184"/>
      <c r="R134" s="316">
        <f>SUM(R124:R133)</f>
        <v>0</v>
      </c>
    </row>
    <row r="135" spans="1:22" hidden="1" x14ac:dyDescent="0.25">
      <c r="H135" s="74" t="str">
        <f>H4</f>
        <v>Conservative</v>
      </c>
      <c r="I135" s="74" t="str">
        <f t="shared" ref="I135:J135" si="40">I4</f>
        <v>Pragmatic</v>
      </c>
      <c r="J135" s="74" t="str">
        <f t="shared" si="40"/>
        <v>Aggressive</v>
      </c>
      <c r="N135" s="74" t="str">
        <f>N4</f>
        <v>Conservative</v>
      </c>
      <c r="O135" s="74" t="str">
        <f t="shared" ref="O135:P135" si="41">O4</f>
        <v>Pragmatic</v>
      </c>
      <c r="P135" s="74" t="str">
        <f t="shared" si="41"/>
        <v>Aggressive</v>
      </c>
    </row>
    <row r="136" spans="1:22" hidden="1" x14ac:dyDescent="0.25">
      <c r="C136" s="170">
        <v>1</v>
      </c>
      <c r="D136" s="225" t="str">
        <f>IF(C136="-","-",INDEX('0. Control Panel'!$B$6:$K$16,MATCH('2. Customer Benefit Input'!$C136,'0. Control Panel'!$B$6:$B$16,0),MATCH(D$6,'0. Control Panel'!$B$6:$K$6,0)))</f>
        <v>IT</v>
      </c>
      <c r="F136" s="194">
        <f t="shared" ref="F136:F145" si="42">SUM(F7,F20,F33,F46,F59,F72,F85,F98,F111,F124)</f>
        <v>44.55</v>
      </c>
      <c r="H136" s="121">
        <f t="shared" ref="H136:H145" si="43">SUM(H7,H20,H33,H46,H59,H72,H85,H98,H111,H124)</f>
        <v>-2</v>
      </c>
      <c r="I136" s="121">
        <f t="shared" ref="I136:J136" si="44">SUM(I7,I20,I33,I46,I59,I72,I85,I98,I111,I124)</f>
        <v>-7</v>
      </c>
      <c r="J136" s="121">
        <f t="shared" si="44"/>
        <v>-12</v>
      </c>
      <c r="L136" s="171" t="str">
        <f>D136</f>
        <v>IT</v>
      </c>
      <c r="N136" s="121">
        <f>IFERROR(($L7-N7)*($F7+H7)*'0. Control Panel'!$G7+(($L20-N20)*($F20+H20)*'0. Control Panel'!$G7)+(($L33-N33)*($F33+H33)*'0. Control Panel'!$G7)+(($L46-N46)*($F46+H46)*'0. Control Panel'!$G7)+(($L59-N59)*($F59+H59)*'0. Control Panel'!$G7)+(($L72-N72)*($F72+H72)*'0. Control Panel'!$G7)+(($L85-N85)*($F85+H85)*'0. Control Panel'!$G7)+(($L98-N98)*($F98+H98)*'0. Control Panel'!$G7)+(($L111-N111)*($F111+H111)*'0. Control Panel'!$G7)+(($L124-N124)*($F124+H124)*'0. Control Panel'!$G7),0)</f>
        <v>0</v>
      </c>
      <c r="O136" s="121">
        <f>IFERROR(($L7-O7)*($F7+I7)*'0. Control Panel'!$G7+(($L20-O20)*($F20+I20)*'0. Control Panel'!$G7)+(($L33-O33)*($F33+I33)*'0. Control Panel'!$G7)+(($L46-O46)*($F46+I46)*'0. Control Panel'!$G7)+(($L59-O59)*($F59+I59)*'0. Control Panel'!$G7)+(($L72-O72)*($F72+I72)*'0. Control Panel'!$G7)+(($L85-O85)*($F85+I85)*'0. Control Panel'!$G7)+(($L98-O98)*($F98+I98)*'0. Control Panel'!$G7)+(($L111-O111)*($F111+I111)*'0. Control Panel'!$G7)+(($L124-O124)*($F124+I124)*'0. Control Panel'!$G7),0)</f>
        <v>15.419999999999995</v>
      </c>
      <c r="P136" s="121">
        <f>IFERROR(($L7-P7)*($F7+J7)*'0. Control Panel'!$G7+(($L20-P20)*($F20+J20)*'0. Control Panel'!$G7)+(($L33-P33)*($F33+J33)*'0. Control Panel'!$G7)+(($L46-P46)*($F46+J46)*'0. Control Panel'!$G7)+(($L59-P59)*($F59+J59)*'0. Control Panel'!$G7)+(($L72-P72)*($F72+J72)*'0. Control Panel'!$G7)+(($L85-P85)*($F85+J85)*'0. Control Panel'!$G7)+(($L98-P98)*($F98+J98)*'0. Control Panel'!$G7)+(($L111-P111)*($F111+J111)*'0. Control Panel'!$G7)+(($L124-P124)*($F124+J124)*'0. Control Panel'!$G7),0)</f>
        <v>27.63999999999999</v>
      </c>
    </row>
    <row r="137" spans="1:22" hidden="1" x14ac:dyDescent="0.25">
      <c r="C137" s="174">
        <f>IF(C136="-","-",IF(C136+1&gt;COUNTA('0. Control Panel'!$C$7:$C$16),"-",'2. Customer Benefit Input'!C136+1))</f>
        <v>2</v>
      </c>
      <c r="D137" s="226" t="str">
        <f>IF(C137="-","-",INDEX('0. Control Panel'!$B$6:$K$16,MATCH('2. Customer Benefit Input'!$C137,'0. Control Panel'!$B$6:$B$16,0),MATCH(D$6,'0. Control Panel'!$B$6:$K$6,0)))</f>
        <v>Sales</v>
      </c>
      <c r="F137" s="194">
        <f t="shared" si="42"/>
        <v>376.65000000000003</v>
      </c>
      <c r="H137" s="121">
        <f t="shared" si="43"/>
        <v>-13</v>
      </c>
      <c r="I137" s="121">
        <f t="shared" ref="I137:J145" si="45">SUM(I8,I21,I34,I47,I60,I73,I86,I99,I112,I125)</f>
        <v>-32</v>
      </c>
      <c r="J137" s="121">
        <f t="shared" si="45"/>
        <v>-61</v>
      </c>
      <c r="L137" s="171" t="str">
        <f t="shared" ref="L137:L146" si="46">D137</f>
        <v>Sales</v>
      </c>
      <c r="N137" s="121">
        <f>IFERROR(($L8-N8)*($F8+H8)*'0. Control Panel'!$G8+(($L21-N21)*($F21+H21)*'0. Control Panel'!$G8)+(($L34-N34)*($F34+H34)*'0. Control Panel'!$G8)+(($L47-N47)*($F47+H47)*'0. Control Panel'!$G8)+(($L60-N60)*($F60+H60)*'0. Control Panel'!$G8)+(($L73-N73)*($F73+H73)*'0. Control Panel'!$G8)+(($L86-N86)*($F86+H86)*'0. Control Panel'!$G8)+(($L99-N99)*($F99+H99)*'0. Control Panel'!$G8)+(($L112-N112)*($F112+H112)*'0. Control Panel'!$G8)+(($L125-N125)*($F125+H125)*'0. Control Panel'!$G8),0)</f>
        <v>96.439999999999969</v>
      </c>
      <c r="O137" s="121">
        <f>IFERROR(($L8-O8)*($F8+I8)*'0. Control Panel'!$G8+(($L21-O21)*($F21+I21)*'0. Control Panel'!$G8)+(($L34-O34)*($F34+I34)*'0. Control Panel'!$G8)+(($L47-O47)*($F47+I47)*'0. Control Panel'!$G8)+(($L60-O60)*($F60+I60)*'0. Control Panel'!$G8)+(($L73-O73)*($F73+I73)*'0. Control Panel'!$G8)+(($L86-O86)*($F86+I86)*'0. Control Panel'!$G8)+(($L99-O99)*($F99+I99)*'0. Control Panel'!$G8)+(($L112-O112)*($F112+I112)*'0. Control Panel'!$G8)+(($L125-O125)*($F125+I125)*'0. Control Panel'!$G8),0)</f>
        <v>247.83999999999995</v>
      </c>
      <c r="P137" s="121">
        <f>IFERROR(($L8-P8)*($F8+J8)*'0. Control Panel'!$G8+(($L21-P21)*($F21+J21)*'0. Control Panel'!$G8)+(($L34-P34)*($F34+J34)*'0. Control Panel'!$G8)+(($L47-P47)*($F47+J47)*'0. Control Panel'!$G8)+(($L60-P60)*($F60+J60)*'0. Control Panel'!$G8)+(($L73-P73)*($F73+J73)*'0. Control Panel'!$G8)+(($L86-P86)*($F86+J86)*'0. Control Panel'!$G8)+(($L99-P99)*($F99+J99)*'0. Control Panel'!$G8)+(($L112-P112)*($F112+J112)*'0. Control Panel'!$G8)+(($L125-P125)*($F125+J125)*'0. Control Panel'!$G8),0)</f>
        <v>470.08</v>
      </c>
    </row>
    <row r="138" spans="1:22" hidden="1" x14ac:dyDescent="0.25">
      <c r="C138" s="174">
        <f>IF(C137="-","-",IF(C137+1&gt;COUNTA('0. Control Panel'!$C$7:$C$16),"-",'2. Customer Benefit Input'!C137+1))</f>
        <v>3</v>
      </c>
      <c r="D138" s="226" t="str">
        <f>IF(C138="-","-",INDEX('0. Control Panel'!$B$6:$K$16,MATCH('2. Customer Benefit Input'!$C138,'0. Control Panel'!$B$6:$B$16,0),MATCH(D$6,'0. Control Panel'!$B$6:$K$6,0)))</f>
        <v>Product A</v>
      </c>
      <c r="F138" s="194">
        <f t="shared" si="42"/>
        <v>68.850000000000009</v>
      </c>
      <c r="H138" s="121">
        <f t="shared" si="43"/>
        <v>-9</v>
      </c>
      <c r="I138" s="121">
        <f t="shared" si="45"/>
        <v>-1</v>
      </c>
      <c r="J138" s="121">
        <f t="shared" si="45"/>
        <v>-3</v>
      </c>
      <c r="L138" s="171" t="str">
        <f t="shared" si="46"/>
        <v>Product A</v>
      </c>
      <c r="N138" s="121">
        <f>IFERROR(($L9-N9)*($F9+H9)*'0. Control Panel'!$G9+(($L22-N22)*($F22+H22)*'0. Control Panel'!$G9)+(($L35-N35)*($F35+H35)*'0. Control Panel'!$G9)+(($L48-N48)*($F48+H48)*'0. Control Panel'!$G9)+(($L61-N61)*($F61+H61)*'0. Control Panel'!$G9)+(($L74-N74)*($F74+H74)*'0. Control Panel'!$G9)+(($L87-N87)*($F87+H87)*'0. Control Panel'!$G9)+(($L100-N100)*($F100+H100)*'0. Control Panel'!$G9)+(($L113-N113)*($F113+H113)*'0. Control Panel'!$G9)+(($L126-N126)*($F126+H126)*'0. Control Panel'!$G9),0)</f>
        <v>0</v>
      </c>
      <c r="O138" s="121">
        <f>IFERROR(($L9-O9)*($F9+I9)*'0. Control Panel'!$G9+(($L22-O22)*($F22+I22)*'0. Control Panel'!$G9)+(($L35-O35)*($F35+I35)*'0. Control Panel'!$G9)+(($L48-O48)*($F48+I48)*'0. Control Panel'!$G9)+(($L61-O61)*($F61+I61)*'0. Control Panel'!$G9)+(($L74-O74)*($F74+I74)*'0. Control Panel'!$G9)+(($L87-O87)*($F87+I87)*'0. Control Panel'!$G9)+(($L100-O100)*($F100+I100)*'0. Control Panel'!$G9)+(($L113-O113)*($F113+I113)*'0. Control Panel'!$G9)+(($L126-O126)*($F126+I126)*'0. Control Panel'!$G9),0)</f>
        <v>9.18</v>
      </c>
      <c r="P138" s="121">
        <f>IFERROR(($L9-P9)*($F9+J9)*'0. Control Panel'!$G9+(($L22-P22)*($F22+J22)*'0. Control Panel'!$G9)+(($L35-P35)*($F35+J35)*'0. Control Panel'!$G9)+(($L48-P48)*($F48+J48)*'0. Control Panel'!$G9)+(($L61-P61)*($F61+J61)*'0. Control Panel'!$G9)+(($L74-P74)*($F74+J74)*'0. Control Panel'!$G9)+(($L87-P87)*($F87+J87)*'0. Control Panel'!$G9)+(($L100-P100)*($F100+J100)*'0. Control Panel'!$G9)+(($L113-P113)*($F113+J113)*'0. Control Panel'!$G9)+(($L126-P126)*($F126+J126)*'0. Control Panel'!$G9),0)</f>
        <v>18.36</v>
      </c>
    </row>
    <row r="139" spans="1:22" hidden="1" x14ac:dyDescent="0.25">
      <c r="C139" s="174">
        <f>IF(C138="-","-",IF(C138+1&gt;COUNTA('0. Control Panel'!$C$7:$C$16),"-",'2. Customer Benefit Input'!C138+1))</f>
        <v>4</v>
      </c>
      <c r="D139" s="226" t="str">
        <f>IF(C139="-","-",INDEX('0. Control Panel'!$B$6:$K$16,MATCH('2. Customer Benefit Input'!$C139,'0. Control Panel'!$B$6:$B$16,0),MATCH(D$6,'0. Control Panel'!$B$6:$K$6,0)))</f>
        <v>Product B</v>
      </c>
      <c r="F139" s="194">
        <f t="shared" si="42"/>
        <v>163.35000000000002</v>
      </c>
      <c r="H139" s="121">
        <f t="shared" si="43"/>
        <v>-10</v>
      </c>
      <c r="I139" s="121">
        <f t="shared" si="45"/>
        <v>-27</v>
      </c>
      <c r="J139" s="121">
        <f t="shared" si="45"/>
        <v>-37</v>
      </c>
      <c r="L139" s="171" t="str">
        <f t="shared" si="46"/>
        <v>Product B</v>
      </c>
      <c r="N139" s="121">
        <f>IFERROR(($L10-N10)*($F10+H10)*'0. Control Panel'!$G10+(($L23-N23)*($F23+H23)*'0. Control Panel'!$G10)+(($L36-N36)*($F36+H36)*'0. Control Panel'!$G10)+(($L49-N49)*($F49+H49)*'0. Control Panel'!$G10)+(($L62-N62)*($F62+H62)*'0. Control Panel'!$G10)+(($L75-N75)*($F75+H75)*'0. Control Panel'!$G10)+(($L88-N88)*($F88+H88)*'0. Control Panel'!$G10)+(($L101-N101)*($F101+H101)*'0. Control Panel'!$G10)+(($L114-N114)*($F114+H114)*'0. Control Panel'!$G10)+(($L127-N127)*($F127+H127)*'0. Control Panel'!$G10),0)</f>
        <v>11.879999999999999</v>
      </c>
      <c r="O139" s="121">
        <f>IFERROR(($L10-O10)*($F10+I10)*'0. Control Panel'!$G10+(($L23-O23)*($F23+I23)*'0. Control Panel'!$G10)+(($L36-O36)*($F36+I36)*'0. Control Panel'!$G10)+(($L49-O49)*($F49+I49)*'0. Control Panel'!$G10)+(($L62-O62)*($F62+I62)*'0. Control Panel'!$G10)+(($L75-O75)*($F75+I75)*'0. Control Panel'!$G10)+(($L88-O88)*($F88+I88)*'0. Control Panel'!$G10)+(($L101-O101)*($F101+I101)*'0. Control Panel'!$G10)+(($L114-O114)*($F114+I114)*'0. Control Panel'!$G10)+(($L127-O127)*($F127+I127)*'0. Control Panel'!$G10),0)</f>
        <v>23.759999999999998</v>
      </c>
      <c r="P139" s="121">
        <f>IFERROR(($L10-P10)*($F10+J10)*'0. Control Panel'!$G10+(($L23-P23)*($F23+J23)*'0. Control Panel'!$G10)+(($L36-P36)*($F36+J36)*'0. Control Panel'!$G10)+(($L49-P49)*($F49+J49)*'0. Control Panel'!$G10)+(($L62-P62)*($F62+J62)*'0. Control Panel'!$G10)+(($L75-P75)*($F75+J75)*'0. Control Panel'!$G10)+(($L88-P88)*($F88+J88)*'0. Control Panel'!$G10)+(($L101-P101)*($F101+J101)*'0. Control Panel'!$G10)+(($L114-P114)*($F114+J114)*'0. Control Panel'!$G10)+(($L127-P127)*($F127+J127)*'0. Control Panel'!$G10),0)</f>
        <v>47.52000000000001</v>
      </c>
    </row>
    <row r="140" spans="1:22" hidden="1" x14ac:dyDescent="0.25">
      <c r="C140" s="174">
        <f>IF(C139="-","-",IF(C139+1&gt;COUNTA('0. Control Panel'!$C$7:$C$16),"-",'2. Customer Benefit Input'!C139+1))</f>
        <v>5</v>
      </c>
      <c r="D140" s="226" t="str">
        <f>IF(C140="-","-",INDEX('0. Control Panel'!$B$6:$K$16,MATCH('2. Customer Benefit Input'!$C140,'0. Control Panel'!$B$6:$B$16,0),MATCH(D$6,'0. Control Panel'!$B$6:$K$6,0)))</f>
        <v>R&amp;D</v>
      </c>
      <c r="F140" s="194">
        <f t="shared" si="42"/>
        <v>2.0249999999999999</v>
      </c>
      <c r="H140" s="121">
        <f t="shared" si="43"/>
        <v>-1</v>
      </c>
      <c r="I140" s="121">
        <f t="shared" si="45"/>
        <v>-1</v>
      </c>
      <c r="J140" s="121">
        <f t="shared" si="45"/>
        <v>-1</v>
      </c>
      <c r="L140" s="171" t="str">
        <f t="shared" si="46"/>
        <v>R&amp;D</v>
      </c>
      <c r="N140" s="121">
        <f>IFERROR(($L11-N11)*($F11+H11)*'0. Control Panel'!$G11+(($L24-N24)*($F24+H24)*'0. Control Panel'!$G11)+(($L37-N37)*($F37+H37)*'0. Control Panel'!$G11)+(($L50-N50)*($F50+H50)*'0. Control Panel'!$G11)+(($L63-N63)*($F63+H63)*'0. Control Panel'!$G11)+(($L76-N76)*($F76+H76)*'0. Control Panel'!$G11)+(($L89-N89)*($F89+H89)*'0. Control Panel'!$G11)+(($L102-N102)*($F102+H102)*'0. Control Panel'!$G11)+(($L115-N115)*($F115+H115)*'0. Control Panel'!$G11)+(($L128-N128)*($F128+H128)*'0. Control Panel'!$G11),0)</f>
        <v>0</v>
      </c>
      <c r="O140" s="121">
        <f>IFERROR(($L11-O11)*($F11+I11)*'0. Control Panel'!$G11+(($L24-O24)*($F24+I24)*'0. Control Panel'!$G11)+(($L37-O37)*($F37+I37)*'0. Control Panel'!$G11)+(($L50-O50)*($F50+I50)*'0. Control Panel'!$G11)+(($L63-O63)*($F63+I63)*'0. Control Panel'!$G11)+(($L76-O76)*($F76+I76)*'0. Control Panel'!$G11)+(($L89-O89)*($F89+I89)*'0. Control Panel'!$G11)+(($L102-O102)*($F102+I102)*'0. Control Panel'!$G11)+(($L115-O115)*($F115+I115)*'0. Control Panel'!$G11)+(($L128-O128)*($F128+I128)*'0. Control Panel'!$G11),0)</f>
        <v>1.0249999999999997</v>
      </c>
      <c r="P140" s="121">
        <f>IFERROR(($L11-P11)*($F11+J11)*'0. Control Panel'!$G11+(($L24-P24)*($F24+J24)*'0. Control Panel'!$G11)+(($L37-P37)*($F37+J37)*'0. Control Panel'!$G11)+(($L50-P50)*($F50+J50)*'0. Control Panel'!$G11)+(($L63-P63)*($F63+J63)*'0. Control Panel'!$G11)+(($L76-P76)*($F76+J76)*'0. Control Panel'!$G11)+(($L89-P89)*($F89+J89)*'0. Control Panel'!$G11)+(($L102-P102)*($F102+J102)*'0. Control Panel'!$G11)+(($L115-P115)*($F115+J115)*'0. Control Panel'!$G11)+(($L128-P128)*($F128+J128)*'0. Control Panel'!$G11),0)</f>
        <v>2.0499999999999998</v>
      </c>
    </row>
    <row r="141" spans="1:22" hidden="1" x14ac:dyDescent="0.25">
      <c r="C141" s="174">
        <f>IF(C140="-","-",IF(C140+1&gt;COUNTA('0. Control Panel'!$C$7:$C$16),"-",'2. Customer Benefit Input'!C140+1))</f>
        <v>6</v>
      </c>
      <c r="D141" s="226" t="str">
        <f>IF(C141="-","-",INDEX('0. Control Panel'!$B$6:$K$16,MATCH('2. Customer Benefit Input'!$C141,'0. Control Panel'!$B$6:$B$16,0),MATCH(D$6,'0. Control Panel'!$B$6:$K$6,0)))</f>
        <v>HR</v>
      </c>
      <c r="F141" s="194">
        <f t="shared" si="42"/>
        <v>9.4500000000000011</v>
      </c>
      <c r="H141" s="121">
        <f t="shared" si="43"/>
        <v>-1</v>
      </c>
      <c r="I141" s="121">
        <f t="shared" si="45"/>
        <v>-2</v>
      </c>
      <c r="J141" s="121">
        <f t="shared" si="45"/>
        <v>-3</v>
      </c>
      <c r="L141" s="171" t="str">
        <f t="shared" si="46"/>
        <v>HR</v>
      </c>
      <c r="N141" s="121">
        <f>IFERROR(($L12-N12)*($F12+H12)*'0. Control Panel'!$G12+(($L25-N25)*($F25+H25)*'0. Control Panel'!$G12)+(($L38-N38)*($F38+H38)*'0. Control Panel'!$G12)+(($L51-N51)*($F51+H51)*'0. Control Panel'!$G12)+(($L64-N64)*($F64+H64)*'0. Control Panel'!$G12)+(($L77-N77)*($F77+H77)*'0. Control Panel'!$G12)+(($L90-N90)*($F90+H90)*'0. Control Panel'!$G12)+(($L103-N103)*($F103+H103)*'0. Control Panel'!$G12)+(($L116-N116)*($F116+H116)*'0. Control Panel'!$G12)+(($L129-N129)*($F129+H129)*'0. Control Panel'!$G12),0)</f>
        <v>0</v>
      </c>
      <c r="O141" s="121">
        <f>IFERROR(($L12-O12)*($F12+I12)*'0. Control Panel'!$G12+(($L25-O25)*($F25+I25)*'0. Control Panel'!$G12)+(($L38-O38)*($F38+I38)*'0. Control Panel'!$G12)+(($L51-O51)*($F51+I51)*'0. Control Panel'!$G12)+(($L64-O64)*($F64+I64)*'0. Control Panel'!$G12)+(($L77-O77)*($F77+I77)*'0. Control Panel'!$G12)+(($L90-O90)*($F90+I90)*'0. Control Panel'!$G12)+(($L103-O103)*($F103+I103)*'0. Control Panel'!$G12)+(($L116-O116)*($F116+I116)*'0. Control Panel'!$G12)+(($L129-O129)*($F129+I129)*'0. Control Panel'!$G12),0)</f>
        <v>0</v>
      </c>
      <c r="P141" s="121">
        <f>IFERROR(($L12-P12)*($F12+J12)*'0. Control Panel'!$G12+(($L25-P25)*($F25+J25)*'0. Control Panel'!$G12)+(($L38-P38)*($F38+J38)*'0. Control Panel'!$G12)+(($L51-P51)*($F51+J51)*'0. Control Panel'!$G12)+(($L64-P64)*($F64+J64)*'0. Control Panel'!$G12)+(($L77-P77)*($F77+J77)*'0. Control Panel'!$G12)+(($L90-P90)*($F90+J90)*'0. Control Panel'!$G12)+(($L103-P103)*($F103+J103)*'0. Control Panel'!$G12)+(($L116-P116)*($F116+J116)*'0. Control Panel'!$G12)+(($L129-P129)*($F129+J129)*'0. Control Panel'!$G12),0)</f>
        <v>0</v>
      </c>
    </row>
    <row r="142" spans="1:22" hidden="1" x14ac:dyDescent="0.25">
      <c r="C142" s="174">
        <f>IF(C141="-","-",IF(C141+1&gt;COUNTA('0. Control Panel'!$C$7:$C$16),"-",'2. Customer Benefit Input'!C141+1))</f>
        <v>7</v>
      </c>
      <c r="D142" s="226" t="str">
        <f>IF(C142="-","-",INDEX('0. Control Panel'!$B$6:$K$16,MATCH('2. Customer Benefit Input'!$C142,'0. Control Panel'!$B$6:$B$16,0),MATCH(D$6,'0. Control Panel'!$B$6:$K$6,0)))</f>
        <v>Finance</v>
      </c>
      <c r="F142" s="194">
        <f t="shared" si="42"/>
        <v>32.4</v>
      </c>
      <c r="H142" s="121">
        <f t="shared" si="43"/>
        <v>-1</v>
      </c>
      <c r="I142" s="121">
        <f t="shared" si="45"/>
        <v>-7</v>
      </c>
      <c r="J142" s="121">
        <f t="shared" si="45"/>
        <v>-13</v>
      </c>
      <c r="L142" s="171" t="str">
        <f t="shared" si="46"/>
        <v>Finance</v>
      </c>
      <c r="N142" s="121">
        <f>IFERROR(($L13-N13)*($F13+H13)*'0. Control Panel'!$G13+(($L26-N26)*($F26+H26)*'0. Control Panel'!$G13)+(($L39-N39)*($F39+H39)*'0. Control Panel'!$G13)+(($L52-N52)*($F52+H52)*'0. Control Panel'!$G13)+(($L65-N65)*($F65+H65)*'0. Control Panel'!$G13)+(($L78-N78)*($F78+H78)*'0. Control Panel'!$G13)+(($L91-N91)*($F91+H91)*'0. Control Panel'!$G13)+(($L104-N104)*($F104+H104)*'0. Control Panel'!$G13)+(($L117-N117)*($F117+H117)*'0. Control Panel'!$G13)+(($L130-N130)*($F130+H130)*'0. Control Panel'!$G13),0)</f>
        <v>0</v>
      </c>
      <c r="O142" s="121">
        <f>IFERROR(($L13-O13)*($F13+I13)*'0. Control Panel'!$G13+(($L26-O26)*($F26+I26)*'0. Control Panel'!$G13)+(($L39-O39)*($F39+I39)*'0. Control Panel'!$G13)+(($L52-O52)*($F52+I52)*'0. Control Panel'!$G13)+(($L65-O65)*($F65+I65)*'0. Control Panel'!$G13)+(($L78-O78)*($F78+I78)*'0. Control Panel'!$G13)+(($L91-O91)*($F91+I91)*'0. Control Panel'!$G13)+(($L104-O104)*($F104+I104)*'0. Control Panel'!$G13)+(($L117-O117)*($F117+I117)*'0. Control Panel'!$G13)+(($L130-O130)*($F130+I130)*'0. Control Panel'!$G13),0)</f>
        <v>14.199999999999998</v>
      </c>
      <c r="P142" s="121">
        <f>IFERROR(($L13-P13)*($F13+J13)*'0. Control Panel'!$G13+(($L26-P26)*($F26+J26)*'0. Control Panel'!$G13)+(($L39-P39)*($F39+J39)*'0. Control Panel'!$G13)+(($L52-P52)*($F52+J52)*'0. Control Panel'!$G13)+(($L65-P65)*($F65+J65)*'0. Control Panel'!$G13)+(($L78-P78)*($F78+J78)*'0. Control Panel'!$G13)+(($L91-P91)*($F91+J91)*'0. Control Panel'!$G13)+(($L104-P104)*($F104+J104)*'0. Control Panel'!$G13)+(($L117-P117)*($F117+J117)*'0. Control Panel'!$G13)+(($L130-P130)*($F130+J130)*'0. Control Panel'!$G13),0)</f>
        <v>24.4</v>
      </c>
    </row>
    <row r="143" spans="1:22" hidden="1" x14ac:dyDescent="0.25">
      <c r="C143" s="174">
        <f>IF(C142="-","-",IF(C142+1&gt;COUNTA('0. Control Panel'!$C$7:$C$16),"-",'2. Customer Benefit Input'!C142+1))</f>
        <v>8</v>
      </c>
      <c r="D143" s="226" t="str">
        <f>IF(C143="-","-",INDEX('0. Control Panel'!$B$6:$K$16,MATCH('2. Customer Benefit Input'!$C143,'0. Control Panel'!$B$6:$B$16,0),MATCH(D$6,'0. Control Panel'!$B$6:$K$6,0)))</f>
        <v>Head Office</v>
      </c>
      <c r="F143" s="194">
        <f t="shared" si="42"/>
        <v>12.15</v>
      </c>
      <c r="H143" s="121">
        <f t="shared" si="43"/>
        <v>0</v>
      </c>
      <c r="I143" s="121">
        <f t="shared" si="45"/>
        <v>-4</v>
      </c>
      <c r="J143" s="121">
        <f t="shared" si="45"/>
        <v>-8</v>
      </c>
      <c r="L143" s="171" t="str">
        <f t="shared" si="46"/>
        <v>Head Office</v>
      </c>
      <c r="N143" s="121">
        <f>IFERROR(($L14-N14)*($F14+H14)*'0. Control Panel'!$G14+(($L27-N27)*($F27+H27)*'0. Control Panel'!$G14)+(($L40-N40)*($F40+H40)*'0. Control Panel'!$G14)+(($L53-N53)*($F53+H53)*'0. Control Panel'!$G14)+(($L66-N66)*($F66+H66)*'0. Control Panel'!$G14)+(($L79-N79)*($F79+H79)*'0. Control Panel'!$G14)+(($L92-N92)*($F92+H92)*'0. Control Panel'!$G14)+(($L105-N105)*($F105+H105)*'0. Control Panel'!$G14)+(($L118-N118)*($F118+H118)*'0. Control Panel'!$G14)+(($L131-N131)*($F131+H131)*'0. Control Panel'!$G14),0)</f>
        <v>0</v>
      </c>
      <c r="O143" s="121">
        <f>IFERROR(($L14-O14)*($F14+I14)*'0. Control Panel'!$G14+(($L27-O27)*($F27+I27)*'0. Control Panel'!$G14)+(($L40-O40)*($F40+I40)*'0. Control Panel'!$G14)+(($L53-O53)*($F53+I53)*'0. Control Panel'!$G14)+(($L66-O66)*($F66+I66)*'0. Control Panel'!$G14)+(($L79-O79)*($F79+I79)*'0. Control Panel'!$G14)+(($L92-O92)*($F92+I92)*'0. Control Panel'!$G14)+(($L105-O105)*($F105+I105)*'0. Control Panel'!$G14)+(($L118-O118)*($F118+I118)*'0. Control Panel'!$G14)+(($L131-O131)*($F131+I131)*'0. Control Panel'!$G14),0)</f>
        <v>6.5199999999999987</v>
      </c>
      <c r="P143" s="121">
        <f>IFERROR(($L14-P14)*($F14+J14)*'0. Control Panel'!$G14+(($L27-P27)*($F27+J27)*'0. Control Panel'!$G14)+(($L40-P40)*($F40+J40)*'0. Control Panel'!$G14)+(($L53-P53)*($F53+J53)*'0. Control Panel'!$G14)+(($L66-P66)*($F66+J66)*'0. Control Panel'!$G14)+(($L79-P79)*($F79+J79)*'0. Control Panel'!$G14)+(($L92-P92)*($F92+J92)*'0. Control Panel'!$G14)+(($L105-P105)*($F105+J105)*'0. Control Panel'!$G14)+(($L118-P118)*($F118+J118)*'0. Control Panel'!$G14)+(($L131-P131)*($F131+J131)*'0. Control Panel'!$G14),0)</f>
        <v>6.6400000000000006</v>
      </c>
    </row>
    <row r="144" spans="1:22" hidden="1" x14ac:dyDescent="0.25">
      <c r="C144" s="174" t="str">
        <f>IF(C143="-","-",IF(C143+1&gt;COUNTA('0. Control Panel'!$C$7:$C$16),"-",'2. Customer Benefit Input'!C143+1))</f>
        <v>-</v>
      </c>
      <c r="D144" s="226" t="str">
        <f>IF(C144="-","-",INDEX('0. Control Panel'!$B$6:$K$16,MATCH('2. Customer Benefit Input'!$C144,'0. Control Panel'!$B$6:$B$16,0),MATCH(D$6,'0. Control Panel'!$B$6:$K$6,0)))</f>
        <v>-</v>
      </c>
      <c r="F144" s="194">
        <f t="shared" si="42"/>
        <v>0</v>
      </c>
      <c r="H144" s="121">
        <f t="shared" si="43"/>
        <v>0</v>
      </c>
      <c r="I144" s="121">
        <f t="shared" si="45"/>
        <v>0</v>
      </c>
      <c r="J144" s="121">
        <f t="shared" si="45"/>
        <v>0</v>
      </c>
      <c r="L144" s="171" t="str">
        <f t="shared" si="46"/>
        <v>-</v>
      </c>
      <c r="N144" s="121">
        <f>IFERROR(($L15-N15)*($F15+H15)*'0. Control Panel'!$G15+(($L28-N28)*($F28+H28)*'0. Control Panel'!$G15)+(($L41-N41)*($F41+H41)*'0. Control Panel'!$G15)+(($L54-N54)*($F54+H54)*'0. Control Panel'!$G15)+(($L67-N67)*($F67+H67)*'0. Control Panel'!$G15)+(($L80-N80)*($F80+H80)*'0. Control Panel'!$G15)+(($L93-N93)*($F93+H93)*'0. Control Panel'!$G15)+(($L106-N106)*($F106+H106)*'0. Control Panel'!$G15)+(($L119-N119)*($F119+H119)*'0. Control Panel'!$G15)+(($L132-N132)*($F132+H132)*'0. Control Panel'!$G15),0)</f>
        <v>0</v>
      </c>
      <c r="O144" s="121">
        <f>IFERROR(($L15-O15)*($F15+I15)*'0. Control Panel'!$G15+(($L28-O28)*($F28+I28)*'0. Control Panel'!$G15)+(($L41-O41)*($F41+I41)*'0. Control Panel'!$G15)+(($L54-O54)*($F54+I54)*'0. Control Panel'!$G15)+(($L67-O67)*($F67+I67)*'0. Control Panel'!$G15)+(($L80-O80)*($F80+I80)*'0. Control Panel'!$G15)+(($L93-O93)*($F93+I93)*'0. Control Panel'!$G15)+(($L106-O106)*($F106+I106)*'0. Control Panel'!$G15)+(($L119-O119)*($F119+I119)*'0. Control Panel'!$G15)+(($L132-O132)*($F132+I132)*'0. Control Panel'!$G15),0)</f>
        <v>0</v>
      </c>
      <c r="P144" s="121">
        <f>IFERROR(($L15-P15)*($F15+J15)*'0. Control Panel'!$G15+(($L28-P28)*($F28+J28)*'0. Control Panel'!$G15)+(($L41-P41)*($F41+J41)*'0. Control Panel'!$G15)+(($L54-P54)*($F54+J54)*'0. Control Panel'!$G15)+(($L67-P67)*($F67+J67)*'0. Control Panel'!$G15)+(($L80-P80)*($F80+J80)*'0. Control Panel'!$G15)+(($L93-P93)*($F93+J93)*'0. Control Panel'!$G15)+(($L106-P106)*($F106+J106)*'0. Control Panel'!$G15)+(($L119-P119)*($F119+J119)*'0. Control Panel'!$G15)+(($L132-P132)*($F132+J132)*'0. Control Panel'!$G15),0)</f>
        <v>0</v>
      </c>
    </row>
    <row r="145" spans="3:22" hidden="1" x14ac:dyDescent="0.25">
      <c r="C145" s="175" t="str">
        <f>IF(C144="-","-",IF(C144+1&gt;COUNTA('0. Control Panel'!$C$7:$C$16),"-",'2. Customer Benefit Input'!C144+1))</f>
        <v>-</v>
      </c>
      <c r="D145" s="227" t="str">
        <f>IF(C145="-","-",INDEX('0. Control Panel'!$B$6:$K$16,MATCH('2. Customer Benefit Input'!$C145,'0. Control Panel'!$B$6:$B$16,0),MATCH(D$6,'0. Control Panel'!$B$6:$K$6,0)))</f>
        <v>-</v>
      </c>
      <c r="F145" s="194">
        <f t="shared" si="42"/>
        <v>0</v>
      </c>
      <c r="H145" s="121">
        <f t="shared" si="43"/>
        <v>0</v>
      </c>
      <c r="I145" s="121">
        <f t="shared" si="45"/>
        <v>0</v>
      </c>
      <c r="J145" s="121">
        <f t="shared" si="45"/>
        <v>0</v>
      </c>
      <c r="L145" s="171" t="str">
        <f t="shared" si="46"/>
        <v>-</v>
      </c>
      <c r="N145" s="121">
        <f>IFERROR(($L16-N16)*($F16+H16)*'0. Control Panel'!$G16+(($L29-N29)*($F29+H29)*'0. Control Panel'!$G16)+(($L42-N42)*($F42+H42)*'0. Control Panel'!$G16)+(($L55-N55)*($F55+H55)*'0. Control Panel'!$G16)+(($L68-N68)*($F68+H68)*'0. Control Panel'!$G16)+(($L81-N81)*($F81+H81)*'0. Control Panel'!$G16)+(($L94-N94)*($F94+H94)*'0. Control Panel'!$G16)+(($L107-N107)*($F107+H107)*'0. Control Panel'!$G16)+(($L120-N120)*($F120+H120)*'0. Control Panel'!$G16)+(($L133-N133)*($F133+H133)*'0. Control Panel'!$G16),0)</f>
        <v>0</v>
      </c>
      <c r="O145" s="121">
        <f>IFERROR(($L16-O16)*($F16+I16)*'0. Control Panel'!$G16+(($L29-O29)*($F29+I29)*'0. Control Panel'!$G16)+(($L42-O42)*($F42+I42)*'0. Control Panel'!$G16)+(($L55-O55)*($F55+I55)*'0. Control Panel'!$G16)+(($L68-O68)*($F68+I68)*'0. Control Panel'!$G16)+(($L81-O81)*($F81+I81)*'0. Control Panel'!$G16)+(($L94-O94)*($F94+I94)*'0. Control Panel'!$G16)+(($L107-O107)*($F107+I107)*'0. Control Panel'!$G16)+(($L120-O120)*($F120+I120)*'0. Control Panel'!$G16)+(($L133-O133)*($F133+I133)*'0. Control Panel'!$G16),0)</f>
        <v>0</v>
      </c>
      <c r="P145" s="121">
        <f>IFERROR(($L16-P16)*($F16+J16)*'0. Control Panel'!$G16+(($L29-P29)*($F29+J29)*'0. Control Panel'!$G16)+(($L42-P42)*($F42+J42)*'0. Control Panel'!$G16)+(($L55-P55)*($F55+J55)*'0. Control Panel'!$G16)+(($L68-P68)*($F68+J68)*'0. Control Panel'!$G16)+(($L81-P81)*($F81+J81)*'0. Control Panel'!$G16)+(($L94-P94)*($F94+J94)*'0. Control Panel'!$G16)+(($L107-P107)*($F107+J107)*'0. Control Panel'!$G16)+(($L120-P120)*($F120+J120)*'0. Control Panel'!$G16)+(($L133-P133)*($F133+J133)*'0. Control Panel'!$G16),0)</f>
        <v>0</v>
      </c>
    </row>
    <row r="146" spans="3:22" hidden="1" x14ac:dyDescent="0.25">
      <c r="D146" s="70" t="str">
        <f>"All "&amp;$D$6</f>
        <v>All Departments/Functions</v>
      </c>
      <c r="F146" s="194">
        <f>SUM(F136:F145)</f>
        <v>709.42500000000007</v>
      </c>
      <c r="H146" s="121">
        <f>SUM(H136:H145)</f>
        <v>-37</v>
      </c>
      <c r="I146" s="121">
        <f t="shared" ref="I146:J146" si="47">SUM(I136:I145)</f>
        <v>-81</v>
      </c>
      <c r="J146" s="121">
        <f t="shared" si="47"/>
        <v>-138</v>
      </c>
      <c r="L146" s="171" t="str">
        <f t="shared" si="46"/>
        <v>All Departments/Functions</v>
      </c>
      <c r="N146" s="121">
        <f t="shared" ref="N146" si="48">SUM(N136:N145)</f>
        <v>108.31999999999996</v>
      </c>
      <c r="O146" s="121">
        <f t="shared" ref="O146" si="49">SUM(O136:O145)</f>
        <v>317.94499999999988</v>
      </c>
      <c r="P146" s="121">
        <f t="shared" ref="P146" si="50">SUM(P136:P145)</f>
        <v>596.68999999999983</v>
      </c>
    </row>
    <row r="148" spans="3:22" ht="16.5" thickBot="1" x14ac:dyDescent="0.3">
      <c r="C148" s="87"/>
      <c r="D148" s="228"/>
      <c r="E148" s="87"/>
      <c r="F148" s="219"/>
      <c r="G148" s="87"/>
      <c r="H148" s="87"/>
      <c r="I148" s="87"/>
      <c r="J148" s="87"/>
      <c r="K148" s="87"/>
      <c r="L148" s="87"/>
      <c r="M148" s="87"/>
      <c r="N148" s="87"/>
      <c r="O148" s="87"/>
      <c r="P148" s="87"/>
      <c r="Q148" s="87"/>
      <c r="R148" s="87"/>
      <c r="S148" s="87"/>
      <c r="T148" s="87"/>
      <c r="U148" s="87"/>
      <c r="V148" s="87"/>
    </row>
    <row r="149" spans="3:22" ht="16.5" thickTop="1" x14ac:dyDescent="0.25"/>
  </sheetData>
  <sheetProtection algorithmName="SHA-512" hashValue="XMYS9O/b9IMkPzsF/L/7P9+cnl5ZmrL7iXNUrcgFWz2dimiRjNlPZq9C7SRk957PQ2xkb7DEnMnmTspFjyXSHQ==" saltValue="4E/cQRX4VUt6QSRdZk8YQw==" spinCount="100000" sheet="1" objects="1" scenarios="1" selectLockedCells="1" selectUnlockedCells="1"/>
  <mergeCells count="3">
    <mergeCell ref="H3:J3"/>
    <mergeCell ref="N3:P3"/>
    <mergeCell ref="T3:V3"/>
  </mergeCells>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5"/>
  <sheetViews>
    <sheetView showGridLines="0" workbookViewId="0">
      <pane xSplit="5" ySplit="5" topLeftCell="G6" activePane="bottomRight" state="frozen"/>
      <selection activeCell="B1" sqref="B1"/>
      <selection pane="topRight" activeCell="F1" sqref="F1"/>
      <selection pane="bottomLeft" activeCell="B9" sqref="B9"/>
      <selection pane="bottomRight" activeCell="S5" sqref="S5"/>
    </sheetView>
  </sheetViews>
  <sheetFormatPr defaultColWidth="11" defaultRowHeight="15.75" x14ac:dyDescent="0.25"/>
  <cols>
    <col min="1" max="1" width="12" hidden="1" customWidth="1"/>
    <col min="2" max="2" width="4.5" customWidth="1"/>
    <col min="3" max="3" width="8.125" style="1" bestFit="1" customWidth="1"/>
    <col min="4" max="4" width="36" style="1" customWidth="1"/>
    <col min="5" max="6" width="1.375" style="1" customWidth="1"/>
    <col min="7" max="9" width="12" style="1" customWidth="1"/>
    <col min="10" max="10" width="1.375" style="1" customWidth="1"/>
    <col min="11" max="13" width="12" style="1" customWidth="1"/>
    <col min="14" max="14" width="1.375" style="1" customWidth="1"/>
    <col min="15" max="17" width="12" style="1" customWidth="1"/>
    <col min="18" max="18" width="1.375" style="1" customWidth="1"/>
    <col min="19" max="21" width="12" style="1" customWidth="1"/>
  </cols>
  <sheetData>
    <row r="1" spans="1:21" hidden="1" x14ac:dyDescent="0.25">
      <c r="G1" s="13" t="str">
        <f>$G$4&amp;G5</f>
        <v>FTE Cost SavingsConservative</v>
      </c>
      <c r="H1" s="13" t="str">
        <f t="shared" ref="H1:I1" si="0">$G$4&amp;H5</f>
        <v>FTE Cost SavingsPragmatic</v>
      </c>
      <c r="I1" s="13" t="str">
        <f t="shared" si="0"/>
        <v>FTE Cost SavingsAggressive</v>
      </c>
      <c r="K1" s="1" t="str">
        <f>$K$4&amp;K5</f>
        <v>Timesheet Cost SavingsConservative</v>
      </c>
      <c r="L1" s="1" t="str">
        <f t="shared" ref="L1:M1" si="1">$K$4&amp;L5</f>
        <v>Timesheet Cost SavingsPragmatic</v>
      </c>
      <c r="M1" s="1" t="str">
        <f t="shared" si="1"/>
        <v>Timesheet Cost SavingsAggressive</v>
      </c>
      <c r="O1" s="1" t="str">
        <f>$O$4&amp;O5</f>
        <v>Expected Increased Revenue post MDMConservative</v>
      </c>
      <c r="P1" s="1" t="str">
        <f t="shared" ref="P1:Q1" si="2">$O$4&amp;P5</f>
        <v>Expected Increased Revenue post MDMPragmatic</v>
      </c>
      <c r="Q1" s="1" t="str">
        <f t="shared" si="2"/>
        <v>Expected Increased Revenue post MDMAggressive</v>
      </c>
      <c r="S1" s="1" t="str">
        <f>$S$4&amp;S5</f>
        <v>Total MDM Benefit ImpactConservative</v>
      </c>
      <c r="T1" s="1" t="str">
        <f t="shared" ref="T1:U1" si="3">$S$4&amp;T5</f>
        <v>Total MDM Benefit ImpactPragmatic</v>
      </c>
      <c r="U1" s="1" t="str">
        <f t="shared" si="3"/>
        <v>Total MDM Benefit ImpactAggressive</v>
      </c>
    </row>
    <row r="2" spans="1:21" x14ac:dyDescent="0.25">
      <c r="D2" s="10"/>
    </row>
    <row r="3" spans="1:21" s="3" customFormat="1" x14ac:dyDescent="0.25">
      <c r="C3" s="4"/>
      <c r="D3" s="4"/>
      <c r="E3" s="4"/>
      <c r="F3" s="4"/>
      <c r="H3" s="4" t="s">
        <v>69</v>
      </c>
      <c r="I3" s="4"/>
      <c r="J3" s="4"/>
      <c r="L3" s="4" t="s">
        <v>69</v>
      </c>
      <c r="M3" s="4"/>
      <c r="N3" s="4"/>
      <c r="P3" s="4" t="s">
        <v>70</v>
      </c>
      <c r="Q3" s="4"/>
      <c r="R3" s="4"/>
      <c r="T3" s="4" t="s">
        <v>71</v>
      </c>
      <c r="U3" s="4"/>
    </row>
    <row r="4" spans="1:21" ht="15.95" customHeight="1" x14ac:dyDescent="0.25">
      <c r="G4" s="324" t="s">
        <v>74</v>
      </c>
      <c r="H4" s="324"/>
      <c r="I4" s="324"/>
      <c r="J4" s="2"/>
      <c r="K4" s="324" t="s">
        <v>73</v>
      </c>
      <c r="L4" s="324"/>
      <c r="M4" s="324"/>
      <c r="N4" s="8"/>
      <c r="O4" s="324" t="s">
        <v>68</v>
      </c>
      <c r="P4" s="324"/>
      <c r="Q4" s="324"/>
      <c r="R4" s="8"/>
      <c r="S4" s="324" t="s">
        <v>190</v>
      </c>
      <c r="T4" s="324"/>
      <c r="U4" s="324"/>
    </row>
    <row r="5" spans="1:21" x14ac:dyDescent="0.25">
      <c r="B5" s="1"/>
      <c r="G5" s="31" t="str">
        <f>'0. Control Panel'!$C$44</f>
        <v>Conservative</v>
      </c>
      <c r="H5" s="32" t="str">
        <f>'0. Control Panel'!$C$45</f>
        <v>Pragmatic</v>
      </c>
      <c r="I5" s="33" t="str">
        <f>'0. Control Panel'!$C$46</f>
        <v>Aggressive</v>
      </c>
      <c r="J5" s="2"/>
      <c r="K5" s="31" t="str">
        <f>'0. Control Panel'!$C$44</f>
        <v>Conservative</v>
      </c>
      <c r="L5" s="32" t="str">
        <f>'0. Control Panel'!$C$45</f>
        <v>Pragmatic</v>
      </c>
      <c r="M5" s="33" t="str">
        <f>'0. Control Panel'!$C$46</f>
        <v>Aggressive</v>
      </c>
      <c r="N5" s="8"/>
      <c r="O5" s="31" t="str">
        <f>'0. Control Panel'!$C$44</f>
        <v>Conservative</v>
      </c>
      <c r="P5" s="32" t="str">
        <f>'0. Control Panel'!$C$45</f>
        <v>Pragmatic</v>
      </c>
      <c r="Q5" s="33" t="str">
        <f>'0. Control Panel'!$C$46</f>
        <v>Aggressive</v>
      </c>
      <c r="R5" s="21"/>
      <c r="S5" s="31" t="str">
        <f>'0. Control Panel'!$C$44</f>
        <v>Conservative</v>
      </c>
      <c r="T5" s="32" t="str">
        <f>'0. Control Panel'!$C$45</f>
        <v>Pragmatic</v>
      </c>
      <c r="U5" s="33" t="str">
        <f>'0. Control Panel'!$C$46</f>
        <v>Aggressive</v>
      </c>
    </row>
    <row r="6" spans="1:21" ht="21" x14ac:dyDescent="0.25">
      <c r="B6" s="1"/>
      <c r="C6" s="12" t="str">
        <f>'0. Control Panel'!$B$20</f>
        <v>C1</v>
      </c>
      <c r="D6" s="30" t="str">
        <f>IF(INDEX('0. Control Panel'!$B$19:$C$29,MATCH('2.1 Customer Benefit Output'!$C6,'0. Control Panel'!$B$19:$B$29,0),2)="","n/a",INDEX('0. Control Panel'!$B$19:$C$29,MATCH('2.1 Customer Benefit Output'!$C6,'0. Control Panel'!$B$19:$B$29,0),2))</f>
        <v>Increased Customer Retention</v>
      </c>
      <c r="G6" s="18"/>
      <c r="H6" s="19"/>
      <c r="I6" s="20"/>
      <c r="K6" s="18"/>
      <c r="L6" s="19"/>
      <c r="M6" s="20"/>
      <c r="O6" s="18"/>
      <c r="P6" s="19"/>
      <c r="Q6" s="20"/>
      <c r="R6" s="9"/>
      <c r="S6" s="18"/>
      <c r="T6" s="19"/>
      <c r="U6" s="20"/>
    </row>
    <row r="7" spans="1:21" x14ac:dyDescent="0.25">
      <c r="B7" s="1"/>
      <c r="D7" s="14" t="str">
        <f>'0. Control Panel'!$C$6</f>
        <v>Departments/Functions</v>
      </c>
      <c r="G7" s="18"/>
      <c r="H7" s="19"/>
      <c r="I7" s="20"/>
      <c r="K7" s="18"/>
      <c r="L7" s="19"/>
      <c r="M7" s="20"/>
      <c r="O7" s="18"/>
      <c r="P7" s="19"/>
      <c r="Q7" s="20"/>
      <c r="R7" s="9"/>
      <c r="S7" s="18"/>
      <c r="T7" s="19"/>
      <c r="U7" s="20"/>
    </row>
    <row r="8" spans="1:21" x14ac:dyDescent="0.25">
      <c r="A8" t="str">
        <f t="shared" ref="A8:A18" si="4">D8&amp;$C$6</f>
        <v>ITC1</v>
      </c>
      <c r="C8" s="5">
        <f>IF(C7="-","-",IF(C7+1&gt;COUNTA('0. Control Panel'!$C$7:$C$16),"-",'2.1 Customer Benefit Output'!C7+1))</f>
        <v>1</v>
      </c>
      <c r="D8" s="15" t="str">
        <f>IF(C8="-","-",INDEX('0. Control Panel'!$B$6:$K$16,MATCH('2.1 Customer Benefit Output'!$C8,'0. Control Panel'!$B$6:$B$16,0),MATCH(D$7,'0. Control Panel'!$B$6:$K$6,0)))</f>
        <v>IT</v>
      </c>
      <c r="E8" s="5"/>
      <c r="G8" s="24">
        <f>IFERROR(-VLOOKUP($D8,'0. Control Panel'!$C$7:$F$16,4,FALSE)*(('2. Customer Benefit Input'!$F7+'2. Customer Benefit Input'!H7)*'2. Customer Benefit Input'!$L7)+(VLOOKUP($D8,'0. Control Panel'!$C$7:$F$16,4,FALSE)*('2. Customer Benefit Input'!$F7*'2. Customer Benefit Input'!$L7)),0)</f>
        <v>0</v>
      </c>
      <c r="H8" s="24">
        <f>IFERROR(-VLOOKUP($D8,'0. Control Panel'!$C$7:$F$16,4,FALSE)*(('2. Customer Benefit Input'!$F7+'2. Customer Benefit Input'!I7)*'2. Customer Benefit Input'!$L7)+(VLOOKUP($D8,'0. Control Panel'!$C$7:$F$16,4,FALSE)*('2. Customer Benefit Input'!$F7*'2. Customer Benefit Input'!$L7)),0)</f>
        <v>0</v>
      </c>
      <c r="I8" s="24">
        <f>IFERROR(-VLOOKUP($D8,'0. Control Panel'!$C$7:$F$16,4,FALSE)*(('2. Customer Benefit Input'!$F7+'2. Customer Benefit Input'!J7)*'2. Customer Benefit Input'!$L7)+(VLOOKUP($D8,'0. Control Panel'!$C$7:$F$16,4,FALSE)*('2. Customer Benefit Input'!$F7*'2. Customer Benefit Input'!$L7)),0)</f>
        <v>0</v>
      </c>
      <c r="K8" s="24">
        <f>IFERROR((VLOOKUP($D8,'0. Control Panel'!$C$7:$F$16,4,FALSE)*('2. Customer Benefit Input'!$F7+'2. Customer Benefit Input'!H7)*'2. Customer Benefit Input'!$L7)-(VLOOKUP($D8,'0. Control Panel'!$C$7:$F$16,4,FALSE)*('2. Customer Benefit Input'!$F7+'2. Customer Benefit Input'!H7)*'2. Customer Benefit Input'!N7),0)</f>
        <v>0</v>
      </c>
      <c r="L8" s="24">
        <f>IFERROR((VLOOKUP($D8,'0. Control Panel'!$C$7:$F$16,4,FALSE)*('2. Customer Benefit Input'!$F7+'2. Customer Benefit Input'!I7)*'2. Customer Benefit Input'!$L7)-(VLOOKUP($D8,'0. Control Panel'!$C$7:$F$16,4,FALSE)*('2. Customer Benefit Input'!$F7+'2. Customer Benefit Input'!I7)*'2. Customer Benefit Input'!O7),0)</f>
        <v>0</v>
      </c>
      <c r="M8" s="24">
        <f>IFERROR((VLOOKUP($D8,'0. Control Panel'!$C$7:$F$16,4,FALSE)*('2. Customer Benefit Input'!$F7+'2. Customer Benefit Input'!J7)*'2. Customer Benefit Input'!$L7)-(VLOOKUP($D8,'0. Control Panel'!$C$7:$F$16,4,FALSE)*('2. Customer Benefit Input'!$F7+'2. Customer Benefit Input'!J7)*'2. Customer Benefit Input'!P7),0)</f>
        <v>0</v>
      </c>
      <c r="N8" s="25"/>
      <c r="O8" s="24">
        <f>'2. Customer Benefit Input'!T7</f>
        <v>0</v>
      </c>
      <c r="P8" s="24">
        <f>'2. Customer Benefit Input'!U7</f>
        <v>0</v>
      </c>
      <c r="Q8" s="24">
        <f>'2. Customer Benefit Input'!V7</f>
        <v>0</v>
      </c>
      <c r="R8" s="25"/>
      <c r="S8" s="24">
        <f>SUM(G8,K8,O8)</f>
        <v>0</v>
      </c>
      <c r="T8" s="24">
        <f t="shared" ref="T8:U8" si="5">SUM(H8,L8,P8)</f>
        <v>0</v>
      </c>
      <c r="U8" s="24">
        <f t="shared" si="5"/>
        <v>0</v>
      </c>
    </row>
    <row r="9" spans="1:21" x14ac:dyDescent="0.25">
      <c r="A9" t="str">
        <f t="shared" si="4"/>
        <v>SalesC1</v>
      </c>
      <c r="C9" s="6">
        <f>IF(C8="-","-",IF(C8+1&gt;COUNTA('0. Control Panel'!$C$7:$C$16),"-",'2.1 Customer Benefit Output'!C8+1))</f>
        <v>2</v>
      </c>
      <c r="D9" s="16" t="str">
        <f>IF(C9="-","-",INDEX('0. Control Panel'!$B$6:$K$16,MATCH('2.1 Customer Benefit Output'!$C9,'0. Control Panel'!$B$6:$B$16,0),MATCH(D$7,'0. Control Panel'!$B$6:$K$6,0)))</f>
        <v>Sales</v>
      </c>
      <c r="E9" s="6"/>
      <c r="G9" s="24">
        <f>IFERROR(-VLOOKUP($D9,'0. Control Panel'!$C$7:$F$16,4,FALSE)*(('2. Customer Benefit Input'!$F8+'2. Customer Benefit Input'!H8)*'2. Customer Benefit Input'!$L8)+(VLOOKUP($D9,'0. Control Panel'!$C$7:$F$16,4,FALSE)*('2. Customer Benefit Input'!$F8*'2. Customer Benefit Input'!$L8)),0)</f>
        <v>400000</v>
      </c>
      <c r="H9" s="24">
        <f>IFERROR(-VLOOKUP($D9,'0. Control Panel'!$C$7:$F$16,4,FALSE)*(('2. Customer Benefit Input'!$F8+'2. Customer Benefit Input'!I8)*'2. Customer Benefit Input'!$L8)+(VLOOKUP($D9,'0. Control Panel'!$C$7:$F$16,4,FALSE)*('2. Customer Benefit Input'!$F8*'2. Customer Benefit Input'!$L8)),0)</f>
        <v>560000</v>
      </c>
      <c r="I9" s="24">
        <f>IFERROR(-VLOOKUP($D9,'0. Control Panel'!$C$7:$F$16,4,FALSE)*(('2. Customer Benefit Input'!$F8+'2. Customer Benefit Input'!J8)*'2. Customer Benefit Input'!$L8)+(VLOOKUP($D9,'0. Control Panel'!$C$7:$F$16,4,FALSE)*('2. Customer Benefit Input'!$F8*'2. Customer Benefit Input'!$L8)),0)</f>
        <v>800000</v>
      </c>
      <c r="K9" s="24">
        <f>IFERROR((VLOOKUP($D9,'0. Control Panel'!$C$7:$F$16,4,FALSE)*('2. Customer Benefit Input'!$F8+'2. Customer Benefit Input'!H8)*'2. Customer Benefit Input'!$L8)-(VLOOKUP($D9,'0. Control Panel'!$C$7:$F$16,4,FALSE)*('2. Customer Benefit Input'!$F8+'2. Customer Benefit Input'!H8)*'2. Customer Benefit Input'!N8),0)</f>
        <v>964400</v>
      </c>
      <c r="L9" s="24">
        <f>IFERROR((VLOOKUP($D9,'0. Control Panel'!$C$7:$F$16,4,FALSE)*('2. Customer Benefit Input'!$F8+'2. Customer Benefit Input'!I8)*'2. Customer Benefit Input'!$L8)-(VLOOKUP($D9,'0. Control Panel'!$C$7:$F$16,4,FALSE)*('2. Customer Benefit Input'!$F8+'2. Customer Benefit Input'!I8)*'2. Customer Benefit Input'!O8),0)</f>
        <v>1896800</v>
      </c>
      <c r="M9" s="24">
        <f>IFERROR((VLOOKUP($D9,'0. Control Panel'!$C$7:$F$16,4,FALSE)*('2. Customer Benefit Input'!$F8+'2. Customer Benefit Input'!J8)*'2. Customer Benefit Input'!$L8)-(VLOOKUP($D9,'0. Control Panel'!$C$7:$F$16,4,FALSE)*('2. Customer Benefit Input'!$F8+'2. Customer Benefit Input'!J8)*'2. Customer Benefit Input'!P8),0)</f>
        <v>3697600</v>
      </c>
      <c r="N9" s="25"/>
      <c r="O9" s="24">
        <f>'2. Customer Benefit Input'!T8</f>
        <v>1100000</v>
      </c>
      <c r="P9" s="24">
        <f>'2. Customer Benefit Input'!U8</f>
        <v>1100000</v>
      </c>
      <c r="Q9" s="24">
        <f>'2. Customer Benefit Input'!V8</f>
        <v>1100000</v>
      </c>
      <c r="R9" s="25"/>
      <c r="S9" s="24">
        <f t="shared" ref="S9:S17" si="6">SUM(G9,K9,O9)</f>
        <v>2464400</v>
      </c>
      <c r="T9" s="24">
        <f t="shared" ref="T9:T17" si="7">SUM(H9,L9,P9)</f>
        <v>3556800</v>
      </c>
      <c r="U9" s="24">
        <f t="shared" ref="U9:U17" si="8">SUM(I9,M9,Q9)</f>
        <v>5597600</v>
      </c>
    </row>
    <row r="10" spans="1:21" x14ac:dyDescent="0.25">
      <c r="A10" t="str">
        <f t="shared" si="4"/>
        <v>Product AC1</v>
      </c>
      <c r="C10" s="6">
        <f>IF(C9="-","-",IF(C9+1&gt;COUNTA('0. Control Panel'!$C$7:$C$16),"-",'2.1 Customer Benefit Output'!C9+1))</f>
        <v>3</v>
      </c>
      <c r="D10" s="16" t="str">
        <f>IF(C10="-","-",INDEX('0. Control Panel'!$B$6:$K$16,MATCH('2.1 Customer Benefit Output'!$C10,'0. Control Panel'!$B$6:$B$16,0),MATCH(D$7,'0. Control Panel'!$B$6:$K$6,0)))</f>
        <v>Product A</v>
      </c>
      <c r="E10" s="6"/>
      <c r="G10" s="24">
        <f>IFERROR(-VLOOKUP($D10,'0. Control Panel'!$C$7:$F$16,4,FALSE)*(('2. Customer Benefit Input'!$F9+'2. Customer Benefit Input'!H9)*'2. Customer Benefit Input'!$L9)+(VLOOKUP($D10,'0. Control Panel'!$C$7:$F$16,4,FALSE)*('2. Customer Benefit Input'!$F9*'2. Customer Benefit Input'!$L9)),0)</f>
        <v>234500</v>
      </c>
      <c r="H10" s="24">
        <f>IFERROR(-VLOOKUP($D10,'0. Control Panel'!$C$7:$F$16,4,FALSE)*(('2. Customer Benefit Input'!$F9+'2. Customer Benefit Input'!I9)*'2. Customer Benefit Input'!$L9)+(VLOOKUP($D10,'0. Control Panel'!$C$7:$F$16,4,FALSE)*('2. Customer Benefit Input'!$F9*'2. Customer Benefit Input'!$L9)),0)</f>
        <v>0</v>
      </c>
      <c r="I10" s="24">
        <f>IFERROR(-VLOOKUP($D10,'0. Control Panel'!$C$7:$F$16,4,FALSE)*(('2. Customer Benefit Input'!$F9+'2. Customer Benefit Input'!J9)*'2. Customer Benefit Input'!$L9)+(VLOOKUP($D10,'0. Control Panel'!$C$7:$F$16,4,FALSE)*('2. Customer Benefit Input'!$F9*'2. Customer Benefit Input'!$L9)),0)</f>
        <v>0</v>
      </c>
      <c r="K10" s="24">
        <f>IFERROR((VLOOKUP($D10,'0. Control Panel'!$C$7:$F$16,4,FALSE)*('2. Customer Benefit Input'!$F9+'2. Customer Benefit Input'!H9)*'2. Customer Benefit Input'!$L9)-(VLOOKUP($D10,'0. Control Panel'!$C$7:$F$16,4,FALSE)*('2. Customer Benefit Input'!$F9+'2. Customer Benefit Input'!H9)*'2. Customer Benefit Input'!N9),0)</f>
        <v>0</v>
      </c>
      <c r="L10" s="24">
        <f>IFERROR((VLOOKUP($D10,'0. Control Panel'!$C$7:$F$16,4,FALSE)*('2. Customer Benefit Input'!$F9+'2. Customer Benefit Input'!I9)*'2. Customer Benefit Input'!$L9)-(VLOOKUP($D10,'0. Control Panel'!$C$7:$F$16,4,FALSE)*('2. Customer Benefit Input'!$F9+'2. Customer Benefit Input'!I9)*'2. Customer Benefit Input'!O9),0)</f>
        <v>76882.5</v>
      </c>
      <c r="M10" s="24">
        <f>IFERROR((VLOOKUP($D10,'0. Control Panel'!$C$7:$F$16,4,FALSE)*('2. Customer Benefit Input'!$F9+'2. Customer Benefit Input'!J9)*'2. Customer Benefit Input'!$L9)-(VLOOKUP($D10,'0. Control Panel'!$C$7:$F$16,4,FALSE)*('2. Customer Benefit Input'!$F9+'2. Customer Benefit Input'!J9)*'2. Customer Benefit Input'!P9),0)</f>
        <v>153765</v>
      </c>
      <c r="N10" s="25"/>
      <c r="O10" s="24">
        <f>'2. Customer Benefit Input'!T9</f>
        <v>0</v>
      </c>
      <c r="P10" s="24">
        <f>'2. Customer Benefit Input'!U9</f>
        <v>0</v>
      </c>
      <c r="Q10" s="24">
        <f>'2. Customer Benefit Input'!V9</f>
        <v>0</v>
      </c>
      <c r="R10" s="25"/>
      <c r="S10" s="24">
        <f t="shared" si="6"/>
        <v>234500</v>
      </c>
      <c r="T10" s="24">
        <f t="shared" si="7"/>
        <v>76882.5</v>
      </c>
      <c r="U10" s="24">
        <f t="shared" si="8"/>
        <v>153765</v>
      </c>
    </row>
    <row r="11" spans="1:21" x14ac:dyDescent="0.25">
      <c r="A11" t="str">
        <f t="shared" si="4"/>
        <v>Product BC1</v>
      </c>
      <c r="C11" s="6">
        <f>IF(C10="-","-",IF(C10+1&gt;COUNTA('0. Control Panel'!$C$7:$C$16),"-",'2.1 Customer Benefit Output'!C10+1))</f>
        <v>4</v>
      </c>
      <c r="D11" s="16" t="str">
        <f>IF(C11="-","-",INDEX('0. Control Panel'!$B$6:$K$16,MATCH('2.1 Customer Benefit Output'!$C11,'0. Control Panel'!$B$6:$B$16,0),MATCH(D$7,'0. Control Panel'!$B$6:$K$6,0)))</f>
        <v>Product B</v>
      </c>
      <c r="E11" s="6"/>
      <c r="G11" s="24">
        <f>IFERROR(-VLOOKUP($D11,'0. Control Panel'!$C$7:$F$16,4,FALSE)*(('2. Customer Benefit Input'!$F10+'2. Customer Benefit Input'!H10)*'2. Customer Benefit Input'!$L10)+(VLOOKUP($D11,'0. Control Panel'!$C$7:$F$16,4,FALSE)*('2. Customer Benefit Input'!$F10*'2. Customer Benefit Input'!$L10)),0)</f>
        <v>0</v>
      </c>
      <c r="H11" s="24">
        <f>IFERROR(-VLOOKUP($D11,'0. Control Panel'!$C$7:$F$16,4,FALSE)*(('2. Customer Benefit Input'!$F10+'2. Customer Benefit Input'!I10)*'2. Customer Benefit Input'!$L10)+(VLOOKUP($D11,'0. Control Panel'!$C$7:$F$16,4,FALSE)*('2. Customer Benefit Input'!$F10*'2. Customer Benefit Input'!$L10)),0)</f>
        <v>0</v>
      </c>
      <c r="I11" s="24">
        <f>IFERROR(-VLOOKUP($D11,'0. Control Panel'!$C$7:$F$16,4,FALSE)*(('2. Customer Benefit Input'!$F10+'2. Customer Benefit Input'!J10)*'2. Customer Benefit Input'!$L10)+(VLOOKUP($D11,'0. Control Panel'!$C$7:$F$16,4,FALSE)*('2. Customer Benefit Input'!$F10*'2. Customer Benefit Input'!$L10)),0)</f>
        <v>0</v>
      </c>
      <c r="K11" s="24">
        <f>IFERROR((VLOOKUP($D11,'0. Control Panel'!$C$7:$F$16,4,FALSE)*('2. Customer Benefit Input'!$F10+'2. Customer Benefit Input'!H10)*'2. Customer Benefit Input'!$L10)-(VLOOKUP($D11,'0. Control Panel'!$C$7:$F$16,4,FALSE)*('2. Customer Benefit Input'!$F10+'2. Customer Benefit Input'!H10)*'2. Customer Benefit Input'!N10),0)</f>
        <v>95040</v>
      </c>
      <c r="L11" s="24">
        <f>IFERROR((VLOOKUP($D11,'0. Control Panel'!$C$7:$F$16,4,FALSE)*('2. Customer Benefit Input'!$F10+'2. Customer Benefit Input'!I10)*'2. Customer Benefit Input'!$L10)-(VLOOKUP($D11,'0. Control Panel'!$C$7:$F$16,4,FALSE)*('2. Customer Benefit Input'!$F10+'2. Customer Benefit Input'!I10)*'2. Customer Benefit Input'!O10),0)</f>
        <v>190080</v>
      </c>
      <c r="M11" s="24">
        <f>IFERROR((VLOOKUP($D11,'0. Control Panel'!$C$7:$F$16,4,FALSE)*('2. Customer Benefit Input'!$F10+'2. Customer Benefit Input'!J10)*'2. Customer Benefit Input'!$L10)-(VLOOKUP($D11,'0. Control Panel'!$C$7:$F$16,4,FALSE)*('2. Customer Benefit Input'!$F10+'2. Customer Benefit Input'!J10)*'2. Customer Benefit Input'!P10),0)</f>
        <v>380160.00000000012</v>
      </c>
      <c r="N11" s="25"/>
      <c r="O11" s="24">
        <f>'2. Customer Benefit Input'!T10</f>
        <v>0</v>
      </c>
      <c r="P11" s="24">
        <f>'2. Customer Benefit Input'!U10</f>
        <v>0</v>
      </c>
      <c r="Q11" s="24">
        <f>'2. Customer Benefit Input'!V10</f>
        <v>0</v>
      </c>
      <c r="R11" s="25"/>
      <c r="S11" s="24">
        <f t="shared" si="6"/>
        <v>95040</v>
      </c>
      <c r="T11" s="24">
        <f t="shared" si="7"/>
        <v>190080</v>
      </c>
      <c r="U11" s="24">
        <f t="shared" si="8"/>
        <v>380160.00000000012</v>
      </c>
    </row>
    <row r="12" spans="1:21" x14ac:dyDescent="0.25">
      <c r="A12" t="str">
        <f t="shared" si="4"/>
        <v>R&amp;DC1</v>
      </c>
      <c r="C12" s="6">
        <f>IF(C11="-","-",IF(C11+1&gt;COUNTA('0. Control Panel'!$C$7:$C$16),"-",'2.1 Customer Benefit Output'!C11+1))</f>
        <v>5</v>
      </c>
      <c r="D12" s="16" t="str">
        <f>IF(C12="-","-",INDEX('0. Control Panel'!$B$6:$K$16,MATCH('2.1 Customer Benefit Output'!$C12,'0. Control Panel'!$B$6:$B$16,0),MATCH(D$7,'0. Control Panel'!$B$6:$K$6,0)))</f>
        <v>R&amp;D</v>
      </c>
      <c r="E12" s="6"/>
      <c r="G12" s="24">
        <f>IFERROR(-VLOOKUP($D12,'0. Control Panel'!$C$7:$F$16,4,FALSE)*(('2. Customer Benefit Input'!$F11+'2. Customer Benefit Input'!H11)*'2. Customer Benefit Input'!$L11)+(VLOOKUP($D12,'0. Control Panel'!$C$7:$F$16,4,FALSE)*('2. Customer Benefit Input'!$F11*'2. Customer Benefit Input'!$L11)),0)</f>
        <v>0</v>
      </c>
      <c r="H12" s="24">
        <f>IFERROR(-VLOOKUP($D12,'0. Control Panel'!$C$7:$F$16,4,FALSE)*(('2. Customer Benefit Input'!$F11+'2. Customer Benefit Input'!I11)*'2. Customer Benefit Input'!$L11)+(VLOOKUP($D12,'0. Control Panel'!$C$7:$F$16,4,FALSE)*('2. Customer Benefit Input'!$F11*'2. Customer Benefit Input'!$L11)),0)</f>
        <v>0</v>
      </c>
      <c r="I12" s="24">
        <f>IFERROR(-VLOOKUP($D12,'0. Control Panel'!$C$7:$F$16,4,FALSE)*(('2. Customer Benefit Input'!$F11+'2. Customer Benefit Input'!J11)*'2. Customer Benefit Input'!$L11)+(VLOOKUP($D12,'0. Control Panel'!$C$7:$F$16,4,FALSE)*('2. Customer Benefit Input'!$F11*'2. Customer Benefit Input'!$L11)),0)</f>
        <v>0</v>
      </c>
      <c r="K12" s="24">
        <f>IFERROR((VLOOKUP($D12,'0. Control Panel'!$C$7:$F$16,4,FALSE)*('2. Customer Benefit Input'!$F11+'2. Customer Benefit Input'!H11)*'2. Customer Benefit Input'!$L11)-(VLOOKUP($D12,'0. Control Panel'!$C$7:$F$16,4,FALSE)*('2. Customer Benefit Input'!$F11+'2. Customer Benefit Input'!H11)*'2. Customer Benefit Input'!N11),0)</f>
        <v>0</v>
      </c>
      <c r="L12" s="24">
        <f>IFERROR((VLOOKUP($D12,'0. Control Panel'!$C$7:$F$16,4,FALSE)*('2. Customer Benefit Input'!$F11+'2. Customer Benefit Input'!I11)*'2. Customer Benefit Input'!$L11)-(VLOOKUP($D12,'0. Control Panel'!$C$7:$F$16,4,FALSE)*('2. Customer Benefit Input'!$F11+'2. Customer Benefit Input'!I11)*'2. Customer Benefit Input'!O11),0)</f>
        <v>0</v>
      </c>
      <c r="M12" s="24">
        <f>IFERROR((VLOOKUP($D12,'0. Control Panel'!$C$7:$F$16,4,FALSE)*('2. Customer Benefit Input'!$F11+'2. Customer Benefit Input'!J11)*'2. Customer Benefit Input'!$L11)-(VLOOKUP($D12,'0. Control Panel'!$C$7:$F$16,4,FALSE)*('2. Customer Benefit Input'!$F11+'2. Customer Benefit Input'!J11)*'2. Customer Benefit Input'!P11),0)</f>
        <v>0</v>
      </c>
      <c r="N12" s="25"/>
      <c r="O12" s="24">
        <f>'2. Customer Benefit Input'!T11</f>
        <v>0</v>
      </c>
      <c r="P12" s="24">
        <f>'2. Customer Benefit Input'!U11</f>
        <v>0</v>
      </c>
      <c r="Q12" s="24">
        <f>'2. Customer Benefit Input'!V11</f>
        <v>0</v>
      </c>
      <c r="R12" s="25"/>
      <c r="S12" s="24">
        <f t="shared" si="6"/>
        <v>0</v>
      </c>
      <c r="T12" s="24">
        <f t="shared" si="7"/>
        <v>0</v>
      </c>
      <c r="U12" s="24">
        <f t="shared" si="8"/>
        <v>0</v>
      </c>
    </row>
    <row r="13" spans="1:21" x14ac:dyDescent="0.25">
      <c r="A13" t="str">
        <f t="shared" si="4"/>
        <v>HRC1</v>
      </c>
      <c r="C13" s="6">
        <f>IF(C12="-","-",IF(C12+1&gt;COUNTA('0. Control Panel'!$C$7:$C$16),"-",'2.1 Customer Benefit Output'!C12+1))</f>
        <v>6</v>
      </c>
      <c r="D13" s="16" t="str">
        <f>IF(C13="-","-",INDEX('0. Control Panel'!$B$6:$K$16,MATCH('2.1 Customer Benefit Output'!$C13,'0. Control Panel'!$B$6:$B$16,0),MATCH(D$7,'0. Control Panel'!$B$6:$K$6,0)))</f>
        <v>HR</v>
      </c>
      <c r="E13" s="6"/>
      <c r="G13" s="24">
        <f>IFERROR(-VLOOKUP($D13,'0. Control Panel'!$C$7:$F$16,4,FALSE)*(('2. Customer Benefit Input'!$F12+'2. Customer Benefit Input'!H12)*'2. Customer Benefit Input'!$L12)+(VLOOKUP($D13,'0. Control Panel'!$C$7:$F$16,4,FALSE)*('2. Customer Benefit Input'!$F12*'2. Customer Benefit Input'!$L12)),0)</f>
        <v>0</v>
      </c>
      <c r="H13" s="24">
        <f>IFERROR(-VLOOKUP($D13,'0. Control Panel'!$C$7:$F$16,4,FALSE)*(('2. Customer Benefit Input'!$F12+'2. Customer Benefit Input'!I12)*'2. Customer Benefit Input'!$L12)+(VLOOKUP($D13,'0. Control Panel'!$C$7:$F$16,4,FALSE)*('2. Customer Benefit Input'!$F12*'2. Customer Benefit Input'!$L12)),0)</f>
        <v>0</v>
      </c>
      <c r="I13" s="24">
        <f>IFERROR(-VLOOKUP($D13,'0. Control Panel'!$C$7:$F$16,4,FALSE)*(('2. Customer Benefit Input'!$F12+'2. Customer Benefit Input'!J12)*'2. Customer Benefit Input'!$L12)+(VLOOKUP($D13,'0. Control Panel'!$C$7:$F$16,4,FALSE)*('2. Customer Benefit Input'!$F12*'2. Customer Benefit Input'!$L12)),0)</f>
        <v>0</v>
      </c>
      <c r="K13" s="24">
        <f>IFERROR((VLOOKUP($D13,'0. Control Panel'!$C$7:$F$16,4,FALSE)*('2. Customer Benefit Input'!$F12+'2. Customer Benefit Input'!H12)*'2. Customer Benefit Input'!$L12)-(VLOOKUP($D13,'0. Control Panel'!$C$7:$F$16,4,FALSE)*('2. Customer Benefit Input'!$F12+'2. Customer Benefit Input'!H12)*'2. Customer Benefit Input'!N12),0)</f>
        <v>0</v>
      </c>
      <c r="L13" s="24">
        <f>IFERROR((VLOOKUP($D13,'0. Control Panel'!$C$7:$F$16,4,FALSE)*('2. Customer Benefit Input'!$F12+'2. Customer Benefit Input'!I12)*'2. Customer Benefit Input'!$L12)-(VLOOKUP($D13,'0. Control Panel'!$C$7:$F$16,4,FALSE)*('2. Customer Benefit Input'!$F12+'2. Customer Benefit Input'!I12)*'2. Customer Benefit Input'!O12),0)</f>
        <v>0</v>
      </c>
      <c r="M13" s="24">
        <f>IFERROR((VLOOKUP($D13,'0. Control Panel'!$C$7:$F$16,4,FALSE)*('2. Customer Benefit Input'!$F12+'2. Customer Benefit Input'!J12)*'2. Customer Benefit Input'!$L12)-(VLOOKUP($D13,'0. Control Panel'!$C$7:$F$16,4,FALSE)*('2. Customer Benefit Input'!$F12+'2. Customer Benefit Input'!J12)*'2. Customer Benefit Input'!P12),0)</f>
        <v>0</v>
      </c>
      <c r="N13" s="25"/>
      <c r="O13" s="24">
        <f>'2. Customer Benefit Input'!T12</f>
        <v>0</v>
      </c>
      <c r="P13" s="24">
        <f>'2. Customer Benefit Input'!U12</f>
        <v>0</v>
      </c>
      <c r="Q13" s="24">
        <f>'2. Customer Benefit Input'!V12</f>
        <v>0</v>
      </c>
      <c r="R13" s="25"/>
      <c r="S13" s="24">
        <f t="shared" si="6"/>
        <v>0</v>
      </c>
      <c r="T13" s="24">
        <f t="shared" si="7"/>
        <v>0</v>
      </c>
      <c r="U13" s="24">
        <f t="shared" si="8"/>
        <v>0</v>
      </c>
    </row>
    <row r="14" spans="1:21" x14ac:dyDescent="0.25">
      <c r="A14" t="str">
        <f t="shared" si="4"/>
        <v>FinanceC1</v>
      </c>
      <c r="C14" s="6">
        <f>IF(C13="-","-",IF(C13+1&gt;COUNTA('0. Control Panel'!$C$7:$C$16),"-",'2.1 Customer Benefit Output'!C13+1))</f>
        <v>7</v>
      </c>
      <c r="D14" s="16" t="str">
        <f>IF(C14="-","-",INDEX('0. Control Panel'!$B$6:$K$16,MATCH('2.1 Customer Benefit Output'!$C14,'0. Control Panel'!$B$6:$B$16,0),MATCH(D$7,'0. Control Panel'!$B$6:$K$6,0)))</f>
        <v>Finance</v>
      </c>
      <c r="E14" s="6"/>
      <c r="G14" s="24">
        <f>IFERROR(-VLOOKUP($D14,'0. Control Panel'!$C$7:$F$16,4,FALSE)*(('2. Customer Benefit Input'!$F13+'2. Customer Benefit Input'!H13)*'2. Customer Benefit Input'!$L13)+(VLOOKUP($D14,'0. Control Panel'!$C$7:$F$16,4,FALSE)*('2. Customer Benefit Input'!$F13*'2. Customer Benefit Input'!$L13)),0)</f>
        <v>0</v>
      </c>
      <c r="H14" s="24">
        <f>IFERROR(-VLOOKUP($D14,'0. Control Panel'!$C$7:$F$16,4,FALSE)*(('2. Customer Benefit Input'!$F13+'2. Customer Benefit Input'!I13)*'2. Customer Benefit Input'!$L13)+(VLOOKUP($D14,'0. Control Panel'!$C$7:$F$16,4,FALSE)*('2. Customer Benefit Input'!$F13*'2. Customer Benefit Input'!$L13)),0)</f>
        <v>0</v>
      </c>
      <c r="I14" s="24">
        <f>IFERROR(-VLOOKUP($D14,'0. Control Panel'!$C$7:$F$16,4,FALSE)*(('2. Customer Benefit Input'!$F13+'2. Customer Benefit Input'!J13)*'2. Customer Benefit Input'!$L13)+(VLOOKUP($D14,'0. Control Panel'!$C$7:$F$16,4,FALSE)*('2. Customer Benefit Input'!$F13*'2. Customer Benefit Input'!$L13)),0)</f>
        <v>0</v>
      </c>
      <c r="K14" s="24">
        <f>IFERROR((VLOOKUP($D14,'0. Control Panel'!$C$7:$F$16,4,FALSE)*('2. Customer Benefit Input'!$F13+'2. Customer Benefit Input'!H13)*'2. Customer Benefit Input'!$L13)-(VLOOKUP($D14,'0. Control Panel'!$C$7:$F$16,4,FALSE)*('2. Customer Benefit Input'!$F13+'2. Customer Benefit Input'!H13)*'2. Customer Benefit Input'!N13),0)</f>
        <v>0</v>
      </c>
      <c r="L14" s="24">
        <f>IFERROR((VLOOKUP($D14,'0. Control Panel'!$C$7:$F$16,4,FALSE)*('2. Customer Benefit Input'!$F13+'2. Customer Benefit Input'!I13)*'2. Customer Benefit Input'!$L13)-(VLOOKUP($D14,'0. Control Panel'!$C$7:$F$16,4,FALSE)*('2. Customer Benefit Input'!$F13+'2. Customer Benefit Input'!I13)*'2. Customer Benefit Input'!O13),0)</f>
        <v>0</v>
      </c>
      <c r="M14" s="24">
        <f>IFERROR((VLOOKUP($D14,'0. Control Panel'!$C$7:$F$16,4,FALSE)*('2. Customer Benefit Input'!$F13+'2. Customer Benefit Input'!J13)*'2. Customer Benefit Input'!$L13)-(VLOOKUP($D14,'0. Control Panel'!$C$7:$F$16,4,FALSE)*('2. Customer Benefit Input'!$F13+'2. Customer Benefit Input'!J13)*'2. Customer Benefit Input'!P13),0)</f>
        <v>0</v>
      </c>
      <c r="N14" s="25"/>
      <c r="O14" s="24">
        <f>'2. Customer Benefit Input'!T13</f>
        <v>0</v>
      </c>
      <c r="P14" s="24">
        <f>'2. Customer Benefit Input'!U13</f>
        <v>0</v>
      </c>
      <c r="Q14" s="24">
        <f>'2. Customer Benefit Input'!V13</f>
        <v>0</v>
      </c>
      <c r="R14" s="25"/>
      <c r="S14" s="24">
        <f t="shared" si="6"/>
        <v>0</v>
      </c>
      <c r="T14" s="24">
        <f t="shared" si="7"/>
        <v>0</v>
      </c>
      <c r="U14" s="24">
        <f t="shared" si="8"/>
        <v>0</v>
      </c>
    </row>
    <row r="15" spans="1:21" x14ac:dyDescent="0.25">
      <c r="A15" t="str">
        <f t="shared" si="4"/>
        <v>Head OfficeC1</v>
      </c>
      <c r="C15" s="6">
        <f>IF(C14="-","-",IF(C14+1&gt;COUNTA('0. Control Panel'!$C$7:$C$16),"-",'2.1 Customer Benefit Output'!C14+1))</f>
        <v>8</v>
      </c>
      <c r="D15" s="16" t="str">
        <f>IF(C15="-","-",INDEX('0. Control Panel'!$B$6:$K$16,MATCH('2.1 Customer Benefit Output'!$C15,'0. Control Panel'!$B$6:$B$16,0),MATCH(D$7,'0. Control Panel'!$B$6:$K$6,0)))</f>
        <v>Head Office</v>
      </c>
      <c r="E15" s="6"/>
      <c r="G15" s="24">
        <f>IFERROR(-VLOOKUP($D15,'0. Control Panel'!$C$7:$F$16,4,FALSE)*(('2. Customer Benefit Input'!$F14+'2. Customer Benefit Input'!H14)*'2. Customer Benefit Input'!$L14)+(VLOOKUP($D15,'0. Control Panel'!$C$7:$F$16,4,FALSE)*('2. Customer Benefit Input'!$F14*'2. Customer Benefit Input'!$L14)),0)</f>
        <v>0</v>
      </c>
      <c r="H15" s="24">
        <f>IFERROR(-VLOOKUP($D15,'0. Control Panel'!$C$7:$F$16,4,FALSE)*(('2. Customer Benefit Input'!$F14+'2. Customer Benefit Input'!I14)*'2. Customer Benefit Input'!$L14)+(VLOOKUP($D15,'0. Control Panel'!$C$7:$F$16,4,FALSE)*('2. Customer Benefit Input'!$F14*'2. Customer Benefit Input'!$L14)),0)</f>
        <v>0</v>
      </c>
      <c r="I15" s="24">
        <f>IFERROR(-VLOOKUP($D15,'0. Control Panel'!$C$7:$F$16,4,FALSE)*(('2. Customer Benefit Input'!$F14+'2. Customer Benefit Input'!J14)*'2. Customer Benefit Input'!$L14)+(VLOOKUP($D15,'0. Control Panel'!$C$7:$F$16,4,FALSE)*('2. Customer Benefit Input'!$F14*'2. Customer Benefit Input'!$L14)),0)</f>
        <v>0</v>
      </c>
      <c r="K15" s="24">
        <f>IFERROR((VLOOKUP($D15,'0. Control Panel'!$C$7:$F$16,4,FALSE)*('2. Customer Benefit Input'!$F14+'2. Customer Benefit Input'!H14)*'2. Customer Benefit Input'!$L14)-(VLOOKUP($D15,'0. Control Panel'!$C$7:$F$16,4,FALSE)*('2. Customer Benefit Input'!$F14+'2. Customer Benefit Input'!H14)*'2. Customer Benefit Input'!N14),0)</f>
        <v>0</v>
      </c>
      <c r="L15" s="24">
        <f>IFERROR((VLOOKUP($D15,'0. Control Panel'!$C$7:$F$16,4,FALSE)*('2. Customer Benefit Input'!$F14+'2. Customer Benefit Input'!I14)*'2. Customer Benefit Input'!$L14)-(VLOOKUP($D15,'0. Control Panel'!$C$7:$F$16,4,FALSE)*('2. Customer Benefit Input'!$F14+'2. Customer Benefit Input'!I14)*'2. Customer Benefit Input'!O14),0)</f>
        <v>0</v>
      </c>
      <c r="M15" s="24">
        <f>IFERROR((VLOOKUP($D15,'0. Control Panel'!$C$7:$F$16,4,FALSE)*('2. Customer Benefit Input'!$F14+'2. Customer Benefit Input'!J14)*'2. Customer Benefit Input'!$L14)-(VLOOKUP($D15,'0. Control Panel'!$C$7:$F$16,4,FALSE)*('2. Customer Benefit Input'!$F14+'2. Customer Benefit Input'!J14)*'2. Customer Benefit Input'!P14),0)</f>
        <v>0</v>
      </c>
      <c r="N15" s="25"/>
      <c r="O15" s="24">
        <f>'2. Customer Benefit Input'!T14</f>
        <v>0</v>
      </c>
      <c r="P15" s="24">
        <f>'2. Customer Benefit Input'!U14</f>
        <v>0</v>
      </c>
      <c r="Q15" s="24">
        <f>'2. Customer Benefit Input'!V14</f>
        <v>0</v>
      </c>
      <c r="R15" s="25"/>
      <c r="S15" s="24">
        <f t="shared" si="6"/>
        <v>0</v>
      </c>
      <c r="T15" s="24">
        <f t="shared" si="7"/>
        <v>0</v>
      </c>
      <c r="U15" s="24">
        <f t="shared" si="8"/>
        <v>0</v>
      </c>
    </row>
    <row r="16" spans="1:21" x14ac:dyDescent="0.25">
      <c r="A16" t="str">
        <f t="shared" si="4"/>
        <v>-C1</v>
      </c>
      <c r="C16" s="6" t="str">
        <f>IF(C15="-","-",IF(C15+1&gt;COUNTA('0. Control Panel'!$C$7:$C$16),"-",'2.1 Customer Benefit Output'!C15+1))</f>
        <v>-</v>
      </c>
      <c r="D16" s="16" t="str">
        <f>IF(C16="-","-",INDEX('0. Control Panel'!$B$6:$K$16,MATCH('2.1 Customer Benefit Output'!$C16,'0. Control Panel'!$B$6:$B$16,0),MATCH(D$7,'0. Control Panel'!$B$6:$K$6,0)))</f>
        <v>-</v>
      </c>
      <c r="E16" s="6"/>
      <c r="G16" s="24">
        <f>IFERROR(-VLOOKUP($D16,'0. Control Panel'!$C$7:$F$16,4,FALSE)*(('2. Customer Benefit Input'!$F15+'2. Customer Benefit Input'!H15)*'2. Customer Benefit Input'!$L15)+(VLOOKUP($D16,'0. Control Panel'!$C$7:$F$16,4,FALSE)*('2. Customer Benefit Input'!$F15*'2. Customer Benefit Input'!$L15)),0)</f>
        <v>0</v>
      </c>
      <c r="H16" s="24">
        <f>IFERROR(-VLOOKUP($D16,'0. Control Panel'!$C$7:$F$16,4,FALSE)*(('2. Customer Benefit Input'!$F15+'2. Customer Benefit Input'!I15)*'2. Customer Benefit Input'!$L15)+(VLOOKUP($D16,'0. Control Panel'!$C$7:$F$16,4,FALSE)*('2. Customer Benefit Input'!$F15*'2. Customer Benefit Input'!$L15)),0)</f>
        <v>0</v>
      </c>
      <c r="I16" s="24">
        <f>IFERROR(-VLOOKUP($D16,'0. Control Panel'!$C$7:$F$16,4,FALSE)*(('2. Customer Benefit Input'!$F15+'2. Customer Benefit Input'!J15)*'2. Customer Benefit Input'!$L15)+(VLOOKUP($D16,'0. Control Panel'!$C$7:$F$16,4,FALSE)*('2. Customer Benefit Input'!$F15*'2. Customer Benefit Input'!$L15)),0)</f>
        <v>0</v>
      </c>
      <c r="K16" s="24">
        <f>IFERROR((VLOOKUP($D16,'0. Control Panel'!$C$7:$F$16,4,FALSE)*('2. Customer Benefit Input'!$F15+'2. Customer Benefit Input'!H15)*'2. Customer Benefit Input'!$L15)-(VLOOKUP($D16,'0. Control Panel'!$C$7:$F$16,4,FALSE)*('2. Customer Benefit Input'!$F15+'2. Customer Benefit Input'!H15)*'2. Customer Benefit Input'!N15),0)</f>
        <v>0</v>
      </c>
      <c r="L16" s="24">
        <f>IFERROR((VLOOKUP($D16,'0. Control Panel'!$C$7:$F$16,4,FALSE)*('2. Customer Benefit Input'!$F15+'2. Customer Benefit Input'!I15)*'2. Customer Benefit Input'!$L15)-(VLOOKUP($D16,'0. Control Panel'!$C$7:$F$16,4,FALSE)*('2. Customer Benefit Input'!$F15+'2. Customer Benefit Input'!I15)*'2. Customer Benefit Input'!O15),0)</f>
        <v>0</v>
      </c>
      <c r="M16" s="24">
        <f>IFERROR((VLOOKUP($D16,'0. Control Panel'!$C$7:$F$16,4,FALSE)*('2. Customer Benefit Input'!$F15+'2. Customer Benefit Input'!J15)*'2. Customer Benefit Input'!$L15)-(VLOOKUP($D16,'0. Control Panel'!$C$7:$F$16,4,FALSE)*('2. Customer Benefit Input'!$F15+'2. Customer Benefit Input'!J15)*'2. Customer Benefit Input'!P15),0)</f>
        <v>0</v>
      </c>
      <c r="N16" s="25"/>
      <c r="O16" s="24">
        <f>'2. Customer Benefit Input'!T15</f>
        <v>0</v>
      </c>
      <c r="P16" s="24">
        <f>'2. Customer Benefit Input'!U15</f>
        <v>0</v>
      </c>
      <c r="Q16" s="24">
        <f>'2. Customer Benefit Input'!V15</f>
        <v>0</v>
      </c>
      <c r="R16" s="25"/>
      <c r="S16" s="24">
        <f t="shared" si="6"/>
        <v>0</v>
      </c>
      <c r="T16" s="24">
        <f t="shared" si="7"/>
        <v>0</v>
      </c>
      <c r="U16" s="24">
        <f t="shared" si="8"/>
        <v>0</v>
      </c>
    </row>
    <row r="17" spans="1:21" x14ac:dyDescent="0.25">
      <c r="A17" t="str">
        <f t="shared" si="4"/>
        <v>-C1</v>
      </c>
      <c r="C17" s="7" t="str">
        <f>IF(C16="-","-",IF(C16+1&gt;COUNTA('0. Control Panel'!$C$7:$C$16),"-",'2.1 Customer Benefit Output'!C16+1))</f>
        <v>-</v>
      </c>
      <c r="D17" s="17" t="str">
        <f>IF(C17="-","-",INDEX('0. Control Panel'!$B$6:$K$16,MATCH('2.1 Customer Benefit Output'!$C17,'0. Control Panel'!$B$6:$B$16,0),MATCH(D$7,'0. Control Panel'!$B$6:$K$6,0)))</f>
        <v>-</v>
      </c>
      <c r="E17" s="7"/>
      <c r="G17" s="24">
        <f>IFERROR(-VLOOKUP($D17,'0. Control Panel'!$C$7:$F$16,4,FALSE)*(('2. Customer Benefit Input'!$F16+'2. Customer Benefit Input'!H16)*'2. Customer Benefit Input'!$L16)+(VLOOKUP($D17,'0. Control Panel'!$C$7:$F$16,4,FALSE)*('2. Customer Benefit Input'!$F16*'2. Customer Benefit Input'!$L16)),0)</f>
        <v>0</v>
      </c>
      <c r="H17" s="24">
        <f>IFERROR(-VLOOKUP($D17,'0. Control Panel'!$C$7:$F$16,4,FALSE)*(('2. Customer Benefit Input'!$F16+'2. Customer Benefit Input'!I16)*'2. Customer Benefit Input'!$L16)+(VLOOKUP($D17,'0. Control Panel'!$C$7:$F$16,4,FALSE)*('2. Customer Benefit Input'!$F16*'2. Customer Benefit Input'!$L16)),0)</f>
        <v>0</v>
      </c>
      <c r="I17" s="24">
        <f>IFERROR(-VLOOKUP($D17,'0. Control Panel'!$C$7:$F$16,4,FALSE)*(('2. Customer Benefit Input'!$F16+'2. Customer Benefit Input'!J16)*'2. Customer Benefit Input'!$L16)+(VLOOKUP($D17,'0. Control Panel'!$C$7:$F$16,4,FALSE)*('2. Customer Benefit Input'!$F16*'2. Customer Benefit Input'!$L16)),0)</f>
        <v>0</v>
      </c>
      <c r="K17" s="24">
        <f>IFERROR((VLOOKUP($D17,'0. Control Panel'!$C$7:$F$16,4,FALSE)*('2. Customer Benefit Input'!$F16+'2. Customer Benefit Input'!H16)*'2. Customer Benefit Input'!$L16)-(VLOOKUP($D17,'0. Control Panel'!$C$7:$F$16,4,FALSE)*('2. Customer Benefit Input'!$F16+'2. Customer Benefit Input'!H16)*'2. Customer Benefit Input'!N16),0)</f>
        <v>0</v>
      </c>
      <c r="L17" s="24">
        <f>IFERROR((VLOOKUP($D17,'0. Control Panel'!$C$7:$F$16,4,FALSE)*('2. Customer Benefit Input'!$F16+'2. Customer Benefit Input'!I16)*'2. Customer Benefit Input'!$L16)-(VLOOKUP($D17,'0. Control Panel'!$C$7:$F$16,4,FALSE)*('2. Customer Benefit Input'!$F16+'2. Customer Benefit Input'!I16)*'2. Customer Benefit Input'!O16),0)</f>
        <v>0</v>
      </c>
      <c r="M17" s="24">
        <f>IFERROR((VLOOKUP($D17,'0. Control Panel'!$C$7:$F$16,4,FALSE)*('2. Customer Benefit Input'!$F16+'2. Customer Benefit Input'!J16)*'2. Customer Benefit Input'!$L16)-(VLOOKUP($D17,'0. Control Panel'!$C$7:$F$16,4,FALSE)*('2. Customer Benefit Input'!$F16+'2. Customer Benefit Input'!J16)*'2. Customer Benefit Input'!P16),0)</f>
        <v>0</v>
      </c>
      <c r="N17" s="25"/>
      <c r="O17" s="24">
        <f>'2. Customer Benefit Input'!T16</f>
        <v>0</v>
      </c>
      <c r="P17" s="24">
        <f>'2. Customer Benefit Input'!U16</f>
        <v>0</v>
      </c>
      <c r="Q17" s="24">
        <f>'2. Customer Benefit Input'!V16</f>
        <v>0</v>
      </c>
      <c r="R17" s="25"/>
      <c r="S17" s="24">
        <f t="shared" si="6"/>
        <v>0</v>
      </c>
      <c r="T17" s="24">
        <f t="shared" si="7"/>
        <v>0</v>
      </c>
      <c r="U17" s="24">
        <f t="shared" si="8"/>
        <v>0</v>
      </c>
    </row>
    <row r="18" spans="1:21" ht="16.5" thickBot="1" x14ac:dyDescent="0.3">
      <c r="A18" s="34" t="str">
        <f t="shared" si="4"/>
        <v>All Departments/FunctionsC1</v>
      </c>
      <c r="B18" s="34"/>
      <c r="C18" s="23"/>
      <c r="D18" s="27" t="str">
        <f>"All "&amp;D7</f>
        <v>All Departments/Functions</v>
      </c>
      <c r="E18" s="23"/>
      <c r="F18" s="23"/>
      <c r="G18" s="28">
        <f>SUM(G8:G17)</f>
        <v>634500</v>
      </c>
      <c r="H18" s="28">
        <f t="shared" ref="H18" si="9">SUM(H8:H17)</f>
        <v>560000</v>
      </c>
      <c r="I18" s="28">
        <f t="shared" ref="I18" si="10">SUM(I8:I17)</f>
        <v>800000</v>
      </c>
      <c r="J18" s="23"/>
      <c r="K18" s="28">
        <f>SUM(K8:K17)</f>
        <v>1059440</v>
      </c>
      <c r="L18" s="28">
        <f t="shared" ref="L18:M18" si="11">SUM(L8:L17)</f>
        <v>2163762.5</v>
      </c>
      <c r="M18" s="28">
        <f t="shared" si="11"/>
        <v>4231525</v>
      </c>
      <c r="N18" s="29"/>
      <c r="O18" s="28">
        <f t="shared" ref="O18" si="12">SUM(O8:O17)</f>
        <v>1100000</v>
      </c>
      <c r="P18" s="28">
        <f t="shared" ref="P18" si="13">SUM(P8:P17)</f>
        <v>1100000</v>
      </c>
      <c r="Q18" s="28">
        <f t="shared" ref="Q18" si="14">SUM(Q8:Q17)</f>
        <v>1100000</v>
      </c>
      <c r="R18" s="29"/>
      <c r="S18" s="28">
        <f t="shared" ref="S18" si="15">SUM(S8:S17)</f>
        <v>2793940</v>
      </c>
      <c r="T18" s="28">
        <f t="shared" ref="T18" si="16">SUM(T8:T17)</f>
        <v>3823762.5</v>
      </c>
      <c r="U18" s="28">
        <f t="shared" ref="U18" si="17">SUM(U8:U17)</f>
        <v>6131525</v>
      </c>
    </row>
    <row r="19" spans="1:21" ht="16.5" thickTop="1" x14ac:dyDescent="0.25">
      <c r="A19" s="34"/>
      <c r="B19" s="34"/>
      <c r="C19" s="4"/>
      <c r="D19" s="4"/>
      <c r="E19" s="4"/>
      <c r="F19"/>
      <c r="G19" s="25"/>
      <c r="H19" s="25"/>
      <c r="I19" s="25"/>
      <c r="J19"/>
      <c r="K19" s="25"/>
      <c r="L19" s="25"/>
      <c r="M19" s="25"/>
      <c r="N19" s="25"/>
      <c r="O19" s="25"/>
      <c r="P19" s="25"/>
      <c r="Q19" s="25"/>
      <c r="R19" s="25"/>
      <c r="S19" s="25"/>
      <c r="T19" s="25"/>
      <c r="U19" s="25"/>
    </row>
    <row r="20" spans="1:21" ht="15.95" customHeight="1" x14ac:dyDescent="0.25">
      <c r="A20" s="34"/>
      <c r="B20" s="34"/>
      <c r="C20" s="12" t="s">
        <v>13</v>
      </c>
      <c r="D20" s="30" t="str">
        <f>IF(INDEX('0. Control Panel'!$B$19:$C$29,MATCH('2.1 Customer Benefit Output'!$C20,'0. Control Panel'!$B$19:$B$29,0),2)="","n/a",INDEX('0. Control Panel'!$B$19:$C$29,MATCH('2.1 Customer Benefit Output'!$C20,'0. Control Panel'!$B$19:$B$29,0),2))</f>
        <v>Reduced Sales Order Errors</v>
      </c>
      <c r="F20"/>
      <c r="G20" s="26"/>
      <c r="H20" s="26"/>
      <c r="I20" s="26"/>
      <c r="J20"/>
      <c r="K20" s="26"/>
      <c r="L20" s="26"/>
      <c r="M20" s="26"/>
      <c r="N20" s="26"/>
      <c r="O20" s="26"/>
      <c r="P20" s="26"/>
      <c r="Q20" s="26"/>
      <c r="R20" s="26"/>
      <c r="S20" s="26"/>
      <c r="T20" s="26"/>
      <c r="U20" s="26"/>
    </row>
    <row r="21" spans="1:21" x14ac:dyDescent="0.25">
      <c r="A21" s="34" t="str">
        <f>D21&amp;$C$20</f>
        <v>ITC2</v>
      </c>
      <c r="B21" s="34"/>
      <c r="C21" s="5">
        <v>1</v>
      </c>
      <c r="D21" s="15" t="str">
        <f>IF(C21="-","-",INDEX('0. Control Panel'!$B$6:$K$16,MATCH('2.1 Customer Benefit Output'!$C21,'0. Control Panel'!$B$6:$B$16,0),MATCH(D$7,'0. Control Panel'!$B$6:$K$6,0)))</f>
        <v>IT</v>
      </c>
      <c r="E21" s="5"/>
      <c r="G21" s="24">
        <f>IFERROR(-VLOOKUP($D21,'0. Control Panel'!$C$7:$F$16,4,FALSE)*(('2. Customer Benefit Input'!$F20+'2. Customer Benefit Input'!H20)*'2. Customer Benefit Input'!$L20)+(VLOOKUP($D21,'0. Control Panel'!$C$7:$F$16,4,FALSE)*('2. Customer Benefit Input'!$F20*'2. Customer Benefit Input'!$L20)),0)</f>
        <v>55000</v>
      </c>
      <c r="H21" s="24">
        <f>IFERROR(-VLOOKUP($D21,'0. Control Panel'!$C$7:$F$16,4,FALSE)*(('2. Customer Benefit Input'!$F20+'2. Customer Benefit Input'!I20)*'2. Customer Benefit Input'!$L20)+(VLOOKUP($D21,'0. Control Panel'!$C$7:$F$16,4,FALSE)*('2. Customer Benefit Input'!$F20*'2. Customer Benefit Input'!$L20)),0)</f>
        <v>165000</v>
      </c>
      <c r="I21" s="24">
        <f>IFERROR(-VLOOKUP($D21,'0. Control Panel'!$C$7:$F$16,4,FALSE)*(('2. Customer Benefit Input'!$F20+'2. Customer Benefit Input'!J20)*'2. Customer Benefit Input'!$L20)+(VLOOKUP($D21,'0. Control Panel'!$C$7:$F$16,4,FALSE)*('2. Customer Benefit Input'!$F20*'2. Customer Benefit Input'!$L20)),0)</f>
        <v>275000.00000000012</v>
      </c>
      <c r="K21" s="24">
        <f>IFERROR((VLOOKUP($D21,'0. Control Panel'!$C$7:$F$16,4,FALSE)*('2. Customer Benefit Input'!$F20+'2. Customer Benefit Input'!H20)*'2. Customer Benefit Input'!$L20)-(VLOOKUP($D21,'0. Control Panel'!$C$7:$F$16,4,FALSE)*('2. Customer Benefit Input'!$F20+'2. Customer Benefit Input'!H20)*'2. Customer Benefit Input'!N20),0)</f>
        <v>0</v>
      </c>
      <c r="L21" s="24">
        <f>IFERROR((VLOOKUP($D21,'0. Control Panel'!$C$7:$F$16,4,FALSE)*('2. Customer Benefit Input'!$F20+'2. Customer Benefit Input'!I20)*'2. Customer Benefit Input'!$L20)-(VLOOKUP($D21,'0. Control Panel'!$C$7:$F$16,4,FALSE)*('2. Customer Benefit Input'!$F20+'2. Customer Benefit Input'!I20)*'2. Customer Benefit Input'!O20),0)</f>
        <v>106012.5</v>
      </c>
      <c r="M21" s="24">
        <f>IFERROR((VLOOKUP($D21,'0. Control Panel'!$C$7:$F$16,4,FALSE)*('2. Customer Benefit Input'!$F20+'2. Customer Benefit Input'!J20)*'2. Customer Benefit Input'!$L20)-(VLOOKUP($D21,'0. Control Panel'!$C$7:$F$16,4,FALSE)*('2. Customer Benefit Input'!$F20+'2. Customer Benefit Input'!J20)*'2. Customer Benefit Input'!P20),0)</f>
        <v>190024.99999999988</v>
      </c>
      <c r="N21" s="25"/>
      <c r="O21" s="24">
        <f>'2. Customer Benefit Input'!T20</f>
        <v>0</v>
      </c>
      <c r="P21" s="24">
        <f>'2. Customer Benefit Input'!U20</f>
        <v>0</v>
      </c>
      <c r="Q21" s="24">
        <f>'2. Customer Benefit Input'!V20</f>
        <v>0</v>
      </c>
      <c r="R21" s="25"/>
      <c r="S21" s="24">
        <f>SUM(G21,K21,O21)</f>
        <v>55000</v>
      </c>
      <c r="T21" s="24">
        <f t="shared" ref="T21:T30" si="18">SUM(H21,L21,P21)</f>
        <v>271012.5</v>
      </c>
      <c r="U21" s="24">
        <f t="shared" ref="U21:U30" si="19">SUM(I21,M21,Q21)</f>
        <v>465025</v>
      </c>
    </row>
    <row r="22" spans="1:21" x14ac:dyDescent="0.25">
      <c r="A22" s="34" t="str">
        <f t="shared" ref="A22:A30" si="20">D22&amp;$C$20</f>
        <v>SalesC2</v>
      </c>
      <c r="B22" s="34"/>
      <c r="C22" s="6">
        <f>IF(C21="-","-",IF(C21+1&gt;COUNTA('0. Control Panel'!$C$7:$C$16),"-",'2.1 Customer Benefit Output'!C21+1))</f>
        <v>2</v>
      </c>
      <c r="D22" s="16" t="str">
        <f>IF(C22="-","-",INDEX('0. Control Panel'!$B$6:$K$16,MATCH('2.1 Customer Benefit Output'!$C22,'0. Control Panel'!$B$6:$B$16,0),MATCH(D$7,'0. Control Panel'!$B$6:$K$6,0)))</f>
        <v>Sales</v>
      </c>
      <c r="E22" s="6"/>
      <c r="G22" s="24">
        <f>IFERROR(-VLOOKUP($D22,'0. Control Panel'!$C$7:$F$16,4,FALSE)*(('2. Customer Benefit Input'!$F21+'2. Customer Benefit Input'!H21)*'2. Customer Benefit Input'!$L21)+(VLOOKUP($D22,'0. Control Panel'!$C$7:$F$16,4,FALSE)*('2. Customer Benefit Input'!$F21*'2. Customer Benefit Input'!$L21)),0)</f>
        <v>240000</v>
      </c>
      <c r="H22" s="24">
        <f>IFERROR(-VLOOKUP($D22,'0. Control Panel'!$C$7:$F$16,4,FALSE)*(('2. Customer Benefit Input'!$F21+'2. Customer Benefit Input'!I21)*'2. Customer Benefit Input'!$L21)+(VLOOKUP($D22,'0. Control Panel'!$C$7:$F$16,4,FALSE)*('2. Customer Benefit Input'!$F21*'2. Customer Benefit Input'!$L21)),0)</f>
        <v>400000</v>
      </c>
      <c r="I22" s="24">
        <f>IFERROR(-VLOOKUP($D22,'0. Control Panel'!$C$7:$F$16,4,FALSE)*(('2. Customer Benefit Input'!$F21+'2. Customer Benefit Input'!J21)*'2. Customer Benefit Input'!$L21)+(VLOOKUP($D22,'0. Control Panel'!$C$7:$F$16,4,FALSE)*('2. Customer Benefit Input'!$F21*'2. Customer Benefit Input'!$L21)),0)</f>
        <v>800000</v>
      </c>
      <c r="K22" s="24">
        <f>IFERROR((VLOOKUP($D22,'0. Control Panel'!$C$7:$F$16,4,FALSE)*('2. Customer Benefit Input'!$F21+'2. Customer Benefit Input'!H21)*'2. Customer Benefit Input'!$L21)-(VLOOKUP($D22,'0. Control Panel'!$C$7:$F$16,4,FALSE)*('2. Customer Benefit Input'!$F21+'2. Customer Benefit Input'!H21)*'2. Customer Benefit Input'!N21),0)</f>
        <v>0</v>
      </c>
      <c r="L22" s="24">
        <f>IFERROR((VLOOKUP($D22,'0. Control Panel'!$C$7:$F$16,4,FALSE)*('2. Customer Benefit Input'!$F21+'2. Customer Benefit Input'!I21)*'2. Customer Benefit Input'!$L21)-(VLOOKUP($D22,'0. Control Panel'!$C$7:$F$16,4,FALSE)*('2. Customer Benefit Input'!$F21+'2. Customer Benefit Input'!I21)*'2. Customer Benefit Input'!O21),0)</f>
        <v>294800</v>
      </c>
      <c r="M22" s="24">
        <f>IFERROR((VLOOKUP($D22,'0. Control Panel'!$C$7:$F$16,4,FALSE)*('2. Customer Benefit Input'!$F21+'2. Customer Benefit Input'!J21)*'2. Customer Benefit Input'!$L21)-(VLOOKUP($D22,'0. Control Panel'!$C$7:$F$16,4,FALSE)*('2. Customer Benefit Input'!$F21+'2. Customer Benefit Input'!J21)*'2. Customer Benefit Input'!P21),0)</f>
        <v>509600</v>
      </c>
      <c r="N22" s="25"/>
      <c r="O22" s="24">
        <f>'2. Customer Benefit Input'!T21</f>
        <v>300000</v>
      </c>
      <c r="P22" s="24">
        <f>'2. Customer Benefit Input'!U21</f>
        <v>300000</v>
      </c>
      <c r="Q22" s="24">
        <f>'2. Customer Benefit Input'!V21</f>
        <v>300000</v>
      </c>
      <c r="R22" s="25"/>
      <c r="S22" s="24">
        <f t="shared" ref="S22:S30" si="21">SUM(G22,K22,O22)</f>
        <v>540000</v>
      </c>
      <c r="T22" s="24">
        <f t="shared" si="18"/>
        <v>994800</v>
      </c>
      <c r="U22" s="24">
        <f t="shared" si="19"/>
        <v>1609600</v>
      </c>
    </row>
    <row r="23" spans="1:21" x14ac:dyDescent="0.25">
      <c r="A23" s="34" t="str">
        <f t="shared" si="20"/>
        <v>Product AC2</v>
      </c>
      <c r="B23" s="34"/>
      <c r="C23" s="6">
        <f>IF(C22="-","-",IF(C22+1&gt;COUNTA('0. Control Panel'!$C$7:$C$16),"-",'2.1 Customer Benefit Output'!C22+1))</f>
        <v>3</v>
      </c>
      <c r="D23" s="16" t="str">
        <f>IF(C23="-","-",INDEX('0. Control Panel'!$B$6:$K$16,MATCH('2.1 Customer Benefit Output'!$C23,'0. Control Panel'!$B$6:$B$16,0),MATCH(D$7,'0. Control Panel'!$B$6:$K$6,0)))</f>
        <v>Product A</v>
      </c>
      <c r="E23" s="6"/>
      <c r="G23" s="24">
        <f>IFERROR(-VLOOKUP($D23,'0. Control Panel'!$C$7:$F$16,4,FALSE)*(('2. Customer Benefit Input'!$F22+'2. Customer Benefit Input'!H22)*'2. Customer Benefit Input'!$L22)+(VLOOKUP($D23,'0. Control Panel'!$C$7:$F$16,4,FALSE)*('2. Customer Benefit Input'!$F22*'2. Customer Benefit Input'!$L22)),0)</f>
        <v>0</v>
      </c>
      <c r="H23" s="24">
        <f>IFERROR(-VLOOKUP($D23,'0. Control Panel'!$C$7:$F$16,4,FALSE)*(('2. Customer Benefit Input'!$F22+'2. Customer Benefit Input'!I22)*'2. Customer Benefit Input'!$L22)+(VLOOKUP($D23,'0. Control Panel'!$C$7:$F$16,4,FALSE)*('2. Customer Benefit Input'!$F22*'2. Customer Benefit Input'!$L22)),0)</f>
        <v>0</v>
      </c>
      <c r="I23" s="24">
        <f>IFERROR(-VLOOKUP($D23,'0. Control Panel'!$C$7:$F$16,4,FALSE)*(('2. Customer Benefit Input'!$F22+'2. Customer Benefit Input'!J22)*'2. Customer Benefit Input'!$L22)+(VLOOKUP($D23,'0. Control Panel'!$C$7:$F$16,4,FALSE)*('2. Customer Benefit Input'!$F22*'2. Customer Benefit Input'!$L22)),0)</f>
        <v>0</v>
      </c>
      <c r="K23" s="24">
        <f>IFERROR((VLOOKUP($D23,'0. Control Panel'!$C$7:$F$16,4,FALSE)*('2. Customer Benefit Input'!$F22+'2. Customer Benefit Input'!H22)*'2. Customer Benefit Input'!$L22)-(VLOOKUP($D23,'0. Control Panel'!$C$7:$F$16,4,FALSE)*('2. Customer Benefit Input'!$F22+'2. Customer Benefit Input'!H22)*'2. Customer Benefit Input'!N22),0)</f>
        <v>0</v>
      </c>
      <c r="L23" s="24">
        <f>IFERROR((VLOOKUP($D23,'0. Control Panel'!$C$7:$F$16,4,FALSE)*('2. Customer Benefit Input'!$F22+'2. Customer Benefit Input'!I22)*'2. Customer Benefit Input'!$L22)-(VLOOKUP($D23,'0. Control Panel'!$C$7:$F$16,4,FALSE)*('2. Customer Benefit Input'!$F22+'2. Customer Benefit Input'!I22)*'2. Customer Benefit Input'!O22),0)</f>
        <v>0</v>
      </c>
      <c r="M23" s="24">
        <f>IFERROR((VLOOKUP($D23,'0. Control Panel'!$C$7:$F$16,4,FALSE)*('2. Customer Benefit Input'!$F22+'2. Customer Benefit Input'!J22)*'2. Customer Benefit Input'!$L22)-(VLOOKUP($D23,'0. Control Panel'!$C$7:$F$16,4,FALSE)*('2. Customer Benefit Input'!$F22+'2. Customer Benefit Input'!J22)*'2. Customer Benefit Input'!P22),0)</f>
        <v>0</v>
      </c>
      <c r="N23" s="25"/>
      <c r="O23" s="24">
        <f>'2. Customer Benefit Input'!T22</f>
        <v>0</v>
      </c>
      <c r="P23" s="24">
        <f>'2. Customer Benefit Input'!U22</f>
        <v>0</v>
      </c>
      <c r="Q23" s="24">
        <f>'2. Customer Benefit Input'!V22</f>
        <v>0</v>
      </c>
      <c r="R23" s="25"/>
      <c r="S23" s="24">
        <f t="shared" si="21"/>
        <v>0</v>
      </c>
      <c r="T23" s="24">
        <f t="shared" si="18"/>
        <v>0</v>
      </c>
      <c r="U23" s="24">
        <f t="shared" si="19"/>
        <v>0</v>
      </c>
    </row>
    <row r="24" spans="1:21" x14ac:dyDescent="0.25">
      <c r="A24" s="34" t="str">
        <f t="shared" si="20"/>
        <v>Product BC2</v>
      </c>
      <c r="B24" s="34"/>
      <c r="C24" s="6">
        <f>IF(C23="-","-",IF(C23+1&gt;COUNTA('0. Control Panel'!$C$7:$C$16),"-",'2.1 Customer Benefit Output'!C23+1))</f>
        <v>4</v>
      </c>
      <c r="D24" s="16" t="str">
        <f>IF(C24="-","-",INDEX('0. Control Panel'!$B$6:$K$16,MATCH('2.1 Customer Benefit Output'!$C24,'0. Control Panel'!$B$6:$B$16,0),MATCH(D$7,'0. Control Panel'!$B$6:$K$6,0)))</f>
        <v>Product B</v>
      </c>
      <c r="E24" s="6"/>
      <c r="G24" s="24">
        <f>IFERROR(-VLOOKUP($D24,'0. Control Panel'!$C$7:$F$16,4,FALSE)*(('2. Customer Benefit Input'!$F23+'2. Customer Benefit Input'!H23)*'2. Customer Benefit Input'!$L23)+(VLOOKUP($D24,'0. Control Panel'!$C$7:$F$16,4,FALSE)*('2. Customer Benefit Input'!$F23*'2. Customer Benefit Input'!$L23)),0)</f>
        <v>0</v>
      </c>
      <c r="H24" s="24">
        <f>IFERROR(-VLOOKUP($D24,'0. Control Panel'!$C$7:$F$16,4,FALSE)*(('2. Customer Benefit Input'!$F23+'2. Customer Benefit Input'!I23)*'2. Customer Benefit Input'!$L23)+(VLOOKUP($D24,'0. Control Panel'!$C$7:$F$16,4,FALSE)*('2. Customer Benefit Input'!$F23*'2. Customer Benefit Input'!$L23)),0)</f>
        <v>0</v>
      </c>
      <c r="I24" s="24">
        <f>IFERROR(-VLOOKUP($D24,'0. Control Panel'!$C$7:$F$16,4,FALSE)*(('2. Customer Benefit Input'!$F23+'2. Customer Benefit Input'!J23)*'2. Customer Benefit Input'!$L23)+(VLOOKUP($D24,'0. Control Panel'!$C$7:$F$16,4,FALSE)*('2. Customer Benefit Input'!$F23*'2. Customer Benefit Input'!$L23)),0)</f>
        <v>0</v>
      </c>
      <c r="K24" s="24">
        <f>IFERROR((VLOOKUP($D24,'0. Control Panel'!$C$7:$F$16,4,FALSE)*('2. Customer Benefit Input'!$F23+'2. Customer Benefit Input'!H23)*'2. Customer Benefit Input'!$L23)-(VLOOKUP($D24,'0. Control Panel'!$C$7:$F$16,4,FALSE)*('2. Customer Benefit Input'!$F23+'2. Customer Benefit Input'!H23)*'2. Customer Benefit Input'!N23),0)</f>
        <v>0</v>
      </c>
      <c r="L24" s="24">
        <f>IFERROR((VLOOKUP($D24,'0. Control Panel'!$C$7:$F$16,4,FALSE)*('2. Customer Benefit Input'!$F23+'2. Customer Benefit Input'!I23)*'2. Customer Benefit Input'!$L23)-(VLOOKUP($D24,'0. Control Panel'!$C$7:$F$16,4,FALSE)*('2. Customer Benefit Input'!$F23+'2. Customer Benefit Input'!I23)*'2. Customer Benefit Input'!O23),0)</f>
        <v>0</v>
      </c>
      <c r="M24" s="24">
        <f>IFERROR((VLOOKUP($D24,'0. Control Panel'!$C$7:$F$16,4,FALSE)*('2. Customer Benefit Input'!$F23+'2. Customer Benefit Input'!J23)*'2. Customer Benefit Input'!$L23)-(VLOOKUP($D24,'0. Control Panel'!$C$7:$F$16,4,FALSE)*('2. Customer Benefit Input'!$F23+'2. Customer Benefit Input'!J23)*'2. Customer Benefit Input'!P23),0)</f>
        <v>0</v>
      </c>
      <c r="N24" s="25"/>
      <c r="O24" s="24">
        <f>'2. Customer Benefit Input'!T23</f>
        <v>0</v>
      </c>
      <c r="P24" s="24">
        <f>'2. Customer Benefit Input'!U23</f>
        <v>0</v>
      </c>
      <c r="Q24" s="24">
        <f>'2. Customer Benefit Input'!V23</f>
        <v>0</v>
      </c>
      <c r="R24" s="25"/>
      <c r="S24" s="24">
        <f t="shared" si="21"/>
        <v>0</v>
      </c>
      <c r="T24" s="24">
        <f t="shared" si="18"/>
        <v>0</v>
      </c>
      <c r="U24" s="24">
        <f t="shared" si="19"/>
        <v>0</v>
      </c>
    </row>
    <row r="25" spans="1:21" x14ac:dyDescent="0.25">
      <c r="A25" s="34" t="str">
        <f t="shared" si="20"/>
        <v>R&amp;DC2</v>
      </c>
      <c r="B25" s="34"/>
      <c r="C25" s="6">
        <f>IF(C24="-","-",IF(C24+1&gt;COUNTA('0. Control Panel'!$C$7:$C$16),"-",'2.1 Customer Benefit Output'!C24+1))</f>
        <v>5</v>
      </c>
      <c r="D25" s="16" t="str">
        <f>IF(C25="-","-",INDEX('0. Control Panel'!$B$6:$K$16,MATCH('2.1 Customer Benefit Output'!$C25,'0. Control Panel'!$B$6:$B$16,0),MATCH(D$7,'0. Control Panel'!$B$6:$K$6,0)))</f>
        <v>R&amp;D</v>
      </c>
      <c r="E25" s="6"/>
      <c r="G25" s="24">
        <f>IFERROR(-VLOOKUP($D25,'0. Control Panel'!$C$7:$F$16,4,FALSE)*(('2. Customer Benefit Input'!$F24+'2. Customer Benefit Input'!H24)*'2. Customer Benefit Input'!$L24)+(VLOOKUP($D25,'0. Control Panel'!$C$7:$F$16,4,FALSE)*('2. Customer Benefit Input'!$F24*'2. Customer Benefit Input'!$L24)),0)</f>
        <v>0</v>
      </c>
      <c r="H25" s="24">
        <f>IFERROR(-VLOOKUP($D25,'0. Control Panel'!$C$7:$F$16,4,FALSE)*(('2. Customer Benefit Input'!$F24+'2. Customer Benefit Input'!I24)*'2. Customer Benefit Input'!$L24)+(VLOOKUP($D25,'0. Control Panel'!$C$7:$F$16,4,FALSE)*('2. Customer Benefit Input'!$F24*'2. Customer Benefit Input'!$L24)),0)</f>
        <v>0</v>
      </c>
      <c r="I25" s="24">
        <f>IFERROR(-VLOOKUP($D25,'0. Control Panel'!$C$7:$F$16,4,FALSE)*(('2. Customer Benefit Input'!$F24+'2. Customer Benefit Input'!J24)*'2. Customer Benefit Input'!$L24)+(VLOOKUP($D25,'0. Control Panel'!$C$7:$F$16,4,FALSE)*('2. Customer Benefit Input'!$F24*'2. Customer Benefit Input'!$L24)),0)</f>
        <v>0</v>
      </c>
      <c r="K25" s="24">
        <f>IFERROR((VLOOKUP($D25,'0. Control Panel'!$C$7:$F$16,4,FALSE)*('2. Customer Benefit Input'!$F24+'2. Customer Benefit Input'!H24)*'2. Customer Benefit Input'!$L24)-(VLOOKUP($D25,'0. Control Panel'!$C$7:$F$16,4,FALSE)*('2. Customer Benefit Input'!$F24+'2. Customer Benefit Input'!H24)*'2. Customer Benefit Input'!N24),0)</f>
        <v>0</v>
      </c>
      <c r="L25" s="24">
        <f>IFERROR((VLOOKUP($D25,'0. Control Panel'!$C$7:$F$16,4,FALSE)*('2. Customer Benefit Input'!$F24+'2. Customer Benefit Input'!I24)*'2. Customer Benefit Input'!$L24)-(VLOOKUP($D25,'0. Control Panel'!$C$7:$F$16,4,FALSE)*('2. Customer Benefit Input'!$F24+'2. Customer Benefit Input'!I24)*'2. Customer Benefit Input'!O24),0)</f>
        <v>0</v>
      </c>
      <c r="M25" s="24">
        <f>IFERROR((VLOOKUP($D25,'0. Control Panel'!$C$7:$F$16,4,FALSE)*('2. Customer Benefit Input'!$F24+'2. Customer Benefit Input'!J24)*'2. Customer Benefit Input'!$L24)-(VLOOKUP($D25,'0. Control Panel'!$C$7:$F$16,4,FALSE)*('2. Customer Benefit Input'!$F24+'2. Customer Benefit Input'!J24)*'2. Customer Benefit Input'!P24),0)</f>
        <v>0</v>
      </c>
      <c r="N25" s="25"/>
      <c r="O25" s="24">
        <f>'2. Customer Benefit Input'!T24</f>
        <v>0</v>
      </c>
      <c r="P25" s="24">
        <f>'2. Customer Benefit Input'!U24</f>
        <v>0</v>
      </c>
      <c r="Q25" s="24">
        <f>'2. Customer Benefit Input'!V24</f>
        <v>0</v>
      </c>
      <c r="R25" s="25"/>
      <c r="S25" s="24">
        <f t="shared" si="21"/>
        <v>0</v>
      </c>
      <c r="T25" s="24">
        <f t="shared" si="18"/>
        <v>0</v>
      </c>
      <c r="U25" s="24">
        <f t="shared" si="19"/>
        <v>0</v>
      </c>
    </row>
    <row r="26" spans="1:21" x14ac:dyDescent="0.25">
      <c r="A26" s="34" t="str">
        <f t="shared" si="20"/>
        <v>HRC2</v>
      </c>
      <c r="B26" s="34"/>
      <c r="C26" s="6">
        <f>IF(C25="-","-",IF(C25+1&gt;COUNTA('0. Control Panel'!$C$7:$C$16),"-",'2.1 Customer Benefit Output'!C25+1))</f>
        <v>6</v>
      </c>
      <c r="D26" s="16" t="str">
        <f>IF(C26="-","-",INDEX('0. Control Panel'!$B$6:$K$16,MATCH('2.1 Customer Benefit Output'!$C26,'0. Control Panel'!$B$6:$B$16,0),MATCH(D$7,'0. Control Panel'!$B$6:$K$6,0)))</f>
        <v>HR</v>
      </c>
      <c r="E26" s="6"/>
      <c r="G26" s="24">
        <f>IFERROR(-VLOOKUP($D26,'0. Control Panel'!$C$7:$F$16,4,FALSE)*(('2. Customer Benefit Input'!$F25+'2. Customer Benefit Input'!H25)*'2. Customer Benefit Input'!$L25)+(VLOOKUP($D26,'0. Control Panel'!$C$7:$F$16,4,FALSE)*('2. Customer Benefit Input'!$F25*'2. Customer Benefit Input'!$L25)),0)</f>
        <v>0</v>
      </c>
      <c r="H26" s="24">
        <f>IFERROR(-VLOOKUP($D26,'0. Control Panel'!$C$7:$F$16,4,FALSE)*(('2. Customer Benefit Input'!$F25+'2. Customer Benefit Input'!I25)*'2. Customer Benefit Input'!$L25)+(VLOOKUP($D26,'0. Control Panel'!$C$7:$F$16,4,FALSE)*('2. Customer Benefit Input'!$F25*'2. Customer Benefit Input'!$L25)),0)</f>
        <v>0</v>
      </c>
      <c r="I26" s="24">
        <f>IFERROR(-VLOOKUP($D26,'0. Control Panel'!$C$7:$F$16,4,FALSE)*(('2. Customer Benefit Input'!$F25+'2. Customer Benefit Input'!J25)*'2. Customer Benefit Input'!$L25)+(VLOOKUP($D26,'0. Control Panel'!$C$7:$F$16,4,FALSE)*('2. Customer Benefit Input'!$F25*'2. Customer Benefit Input'!$L25)),0)</f>
        <v>0</v>
      </c>
      <c r="K26" s="24">
        <f>IFERROR((VLOOKUP($D26,'0. Control Panel'!$C$7:$F$16,4,FALSE)*('2. Customer Benefit Input'!$F25+'2. Customer Benefit Input'!H25)*'2. Customer Benefit Input'!$L25)-(VLOOKUP($D26,'0. Control Panel'!$C$7:$F$16,4,FALSE)*('2. Customer Benefit Input'!$F25+'2. Customer Benefit Input'!H25)*'2. Customer Benefit Input'!N25),0)</f>
        <v>0</v>
      </c>
      <c r="L26" s="24">
        <f>IFERROR((VLOOKUP($D26,'0. Control Panel'!$C$7:$F$16,4,FALSE)*('2. Customer Benefit Input'!$F25+'2. Customer Benefit Input'!I25)*'2. Customer Benefit Input'!$L25)-(VLOOKUP($D26,'0. Control Panel'!$C$7:$F$16,4,FALSE)*('2. Customer Benefit Input'!$F25+'2. Customer Benefit Input'!I25)*'2. Customer Benefit Input'!O25),0)</f>
        <v>0</v>
      </c>
      <c r="M26" s="24">
        <f>IFERROR((VLOOKUP($D26,'0. Control Panel'!$C$7:$F$16,4,FALSE)*('2. Customer Benefit Input'!$F25+'2. Customer Benefit Input'!J25)*'2. Customer Benefit Input'!$L25)-(VLOOKUP($D26,'0. Control Panel'!$C$7:$F$16,4,FALSE)*('2. Customer Benefit Input'!$F25+'2. Customer Benefit Input'!J25)*'2. Customer Benefit Input'!P25),0)</f>
        <v>0</v>
      </c>
      <c r="N26" s="25"/>
      <c r="O26" s="24">
        <f>'2. Customer Benefit Input'!T25</f>
        <v>0</v>
      </c>
      <c r="P26" s="24">
        <f>'2. Customer Benefit Input'!U25</f>
        <v>0</v>
      </c>
      <c r="Q26" s="24">
        <f>'2. Customer Benefit Input'!V25</f>
        <v>0</v>
      </c>
      <c r="R26" s="25"/>
      <c r="S26" s="24">
        <f t="shared" si="21"/>
        <v>0</v>
      </c>
      <c r="T26" s="24">
        <f t="shared" si="18"/>
        <v>0</v>
      </c>
      <c r="U26" s="24">
        <f t="shared" si="19"/>
        <v>0</v>
      </c>
    </row>
    <row r="27" spans="1:21" x14ac:dyDescent="0.25">
      <c r="A27" s="34" t="str">
        <f t="shared" si="20"/>
        <v>FinanceC2</v>
      </c>
      <c r="B27" s="34"/>
      <c r="C27" s="6">
        <f>IF(C26="-","-",IF(C26+1&gt;COUNTA('0. Control Panel'!$C$7:$C$16),"-",'2.1 Customer Benefit Output'!C26+1))</f>
        <v>7</v>
      </c>
      <c r="D27" s="16" t="str">
        <f>IF(C27="-","-",INDEX('0. Control Panel'!$B$6:$K$16,MATCH('2.1 Customer Benefit Output'!$C27,'0. Control Panel'!$B$6:$B$16,0),MATCH(D$7,'0. Control Panel'!$B$6:$K$6,0)))</f>
        <v>Finance</v>
      </c>
      <c r="E27" s="6"/>
      <c r="G27" s="24">
        <f>IFERROR(-VLOOKUP($D27,'0. Control Panel'!$C$7:$F$16,4,FALSE)*(('2. Customer Benefit Input'!$F26+'2. Customer Benefit Input'!H26)*'2. Customer Benefit Input'!$L26)+(VLOOKUP($D27,'0. Control Panel'!$C$7:$F$16,4,FALSE)*('2. Customer Benefit Input'!$F26*'2. Customer Benefit Input'!$L26)),0)</f>
        <v>26500</v>
      </c>
      <c r="H27" s="24">
        <f>IFERROR(-VLOOKUP($D27,'0. Control Panel'!$C$7:$F$16,4,FALSE)*(('2. Customer Benefit Input'!$F26+'2. Customer Benefit Input'!I26)*'2. Customer Benefit Input'!$L26)+(VLOOKUP($D27,'0. Control Panel'!$C$7:$F$16,4,FALSE)*('2. Customer Benefit Input'!$F26*'2. Customer Benefit Input'!$L26)),0)</f>
        <v>53000</v>
      </c>
      <c r="I27" s="24">
        <f>IFERROR(-VLOOKUP($D27,'0. Control Panel'!$C$7:$F$16,4,FALSE)*(('2. Customer Benefit Input'!$F26+'2. Customer Benefit Input'!J26)*'2. Customer Benefit Input'!$L26)+(VLOOKUP($D27,'0. Control Panel'!$C$7:$F$16,4,FALSE)*('2. Customer Benefit Input'!$F26*'2. Customer Benefit Input'!$L26)),0)</f>
        <v>106000</v>
      </c>
      <c r="K27" s="24">
        <f>IFERROR((VLOOKUP($D27,'0. Control Panel'!$C$7:$F$16,4,FALSE)*('2. Customer Benefit Input'!$F26+'2. Customer Benefit Input'!H26)*'2. Customer Benefit Input'!$L26)-(VLOOKUP($D27,'0. Control Panel'!$C$7:$F$16,4,FALSE)*('2. Customer Benefit Input'!$F26+'2. Customer Benefit Input'!H26)*'2. Customer Benefit Input'!N26),0)</f>
        <v>0</v>
      </c>
      <c r="L27" s="24">
        <f>IFERROR((VLOOKUP($D27,'0. Control Panel'!$C$7:$F$16,4,FALSE)*('2. Customer Benefit Input'!$F26+'2. Customer Benefit Input'!I26)*'2. Customer Benefit Input'!$L26)-(VLOOKUP($D27,'0. Control Panel'!$C$7:$F$16,4,FALSE)*('2. Customer Benefit Input'!$F26+'2. Customer Benefit Input'!I26)*'2. Customer Benefit Input'!O26),0)</f>
        <v>75260</v>
      </c>
      <c r="M27" s="24">
        <f>IFERROR((VLOOKUP($D27,'0. Control Panel'!$C$7:$F$16,4,FALSE)*('2. Customer Benefit Input'!$F26+'2. Customer Benefit Input'!J26)*'2. Customer Benefit Input'!$L26)-(VLOOKUP($D27,'0. Control Panel'!$C$7:$F$16,4,FALSE)*('2. Customer Benefit Input'!$F26+'2. Customer Benefit Input'!J26)*'2. Customer Benefit Input'!P26),0)</f>
        <v>129320</v>
      </c>
      <c r="N27" s="25"/>
      <c r="O27" s="24">
        <f>'2. Customer Benefit Input'!T26</f>
        <v>0</v>
      </c>
      <c r="P27" s="24">
        <f>'2. Customer Benefit Input'!U26</f>
        <v>0</v>
      </c>
      <c r="Q27" s="24">
        <f>'2. Customer Benefit Input'!V26</f>
        <v>0</v>
      </c>
      <c r="R27" s="25"/>
      <c r="S27" s="24">
        <f t="shared" si="21"/>
        <v>26500</v>
      </c>
      <c r="T27" s="24">
        <f t="shared" si="18"/>
        <v>128260</v>
      </c>
      <c r="U27" s="24">
        <f t="shared" si="19"/>
        <v>235320</v>
      </c>
    </row>
    <row r="28" spans="1:21" x14ac:dyDescent="0.25">
      <c r="A28" s="34" t="str">
        <f t="shared" si="20"/>
        <v>Head OfficeC2</v>
      </c>
      <c r="B28" s="34"/>
      <c r="C28" s="6">
        <f>IF(C27="-","-",IF(C27+1&gt;COUNTA('0. Control Panel'!$C$7:$C$16),"-",'2.1 Customer Benefit Output'!C27+1))</f>
        <v>8</v>
      </c>
      <c r="D28" s="16" t="str">
        <f>IF(C28="-","-",INDEX('0. Control Panel'!$B$6:$K$16,MATCH('2.1 Customer Benefit Output'!$C28,'0. Control Panel'!$B$6:$B$16,0),MATCH(D$7,'0. Control Panel'!$B$6:$K$6,0)))</f>
        <v>Head Office</v>
      </c>
      <c r="E28" s="6"/>
      <c r="G28" s="24">
        <f>IFERROR(-VLOOKUP($D28,'0. Control Panel'!$C$7:$F$16,4,FALSE)*(('2. Customer Benefit Input'!$F27+'2. Customer Benefit Input'!H27)*'2. Customer Benefit Input'!$L27)+(VLOOKUP($D28,'0. Control Panel'!$C$7:$F$16,4,FALSE)*('2. Customer Benefit Input'!$F27*'2. Customer Benefit Input'!$L27)),0)</f>
        <v>0</v>
      </c>
      <c r="H28" s="24">
        <f>IFERROR(-VLOOKUP($D28,'0. Control Panel'!$C$7:$F$16,4,FALSE)*(('2. Customer Benefit Input'!$F27+'2. Customer Benefit Input'!I27)*'2. Customer Benefit Input'!$L27)+(VLOOKUP($D28,'0. Control Panel'!$C$7:$F$16,4,FALSE)*('2. Customer Benefit Input'!$F27*'2. Customer Benefit Input'!$L27)),0)</f>
        <v>0</v>
      </c>
      <c r="I28" s="24">
        <f>IFERROR(-VLOOKUP($D28,'0. Control Panel'!$C$7:$F$16,4,FALSE)*(('2. Customer Benefit Input'!$F27+'2. Customer Benefit Input'!J27)*'2. Customer Benefit Input'!$L27)+(VLOOKUP($D28,'0. Control Panel'!$C$7:$F$16,4,FALSE)*('2. Customer Benefit Input'!$F27*'2. Customer Benefit Input'!$L27)),0)</f>
        <v>0</v>
      </c>
      <c r="K28" s="24">
        <f>IFERROR((VLOOKUP($D28,'0. Control Panel'!$C$7:$F$16,4,FALSE)*('2. Customer Benefit Input'!$F27+'2. Customer Benefit Input'!H27)*'2. Customer Benefit Input'!$L27)-(VLOOKUP($D28,'0. Control Panel'!$C$7:$F$16,4,FALSE)*('2. Customer Benefit Input'!$F27+'2. Customer Benefit Input'!H27)*'2. Customer Benefit Input'!N27),0)</f>
        <v>0</v>
      </c>
      <c r="L28" s="24">
        <f>IFERROR((VLOOKUP($D28,'0. Control Panel'!$C$7:$F$16,4,FALSE)*('2. Customer Benefit Input'!$F27+'2. Customer Benefit Input'!I27)*'2. Customer Benefit Input'!$L27)-(VLOOKUP($D28,'0. Control Panel'!$C$7:$F$16,4,FALSE)*('2. Customer Benefit Input'!$F27+'2. Customer Benefit Input'!I27)*'2. Customer Benefit Input'!O27),0)</f>
        <v>0</v>
      </c>
      <c r="M28" s="24">
        <f>IFERROR((VLOOKUP($D28,'0. Control Panel'!$C$7:$F$16,4,FALSE)*('2. Customer Benefit Input'!$F27+'2. Customer Benefit Input'!J27)*'2. Customer Benefit Input'!$L27)-(VLOOKUP($D28,'0. Control Panel'!$C$7:$F$16,4,FALSE)*('2. Customer Benefit Input'!$F27+'2. Customer Benefit Input'!J27)*'2. Customer Benefit Input'!P27),0)</f>
        <v>0</v>
      </c>
      <c r="N28" s="25"/>
      <c r="O28" s="24">
        <f>'2. Customer Benefit Input'!T27</f>
        <v>0</v>
      </c>
      <c r="P28" s="24">
        <f>'2. Customer Benefit Input'!U27</f>
        <v>0</v>
      </c>
      <c r="Q28" s="24">
        <f>'2. Customer Benefit Input'!V27</f>
        <v>0</v>
      </c>
      <c r="R28" s="25"/>
      <c r="S28" s="24">
        <f t="shared" si="21"/>
        <v>0</v>
      </c>
      <c r="T28" s="24">
        <f t="shared" si="18"/>
        <v>0</v>
      </c>
      <c r="U28" s="24">
        <f t="shared" si="19"/>
        <v>0</v>
      </c>
    </row>
    <row r="29" spans="1:21" x14ac:dyDescent="0.25">
      <c r="A29" s="34" t="str">
        <f t="shared" si="20"/>
        <v>-C2</v>
      </c>
      <c r="B29" s="34"/>
      <c r="C29" s="6" t="str">
        <f>IF(C28="-","-",IF(C28+1&gt;COUNTA('0. Control Panel'!$C$7:$C$16),"-",'2.1 Customer Benefit Output'!C28+1))</f>
        <v>-</v>
      </c>
      <c r="D29" s="16" t="str">
        <f>IF(C29="-","-",INDEX('0. Control Panel'!$B$6:$K$16,MATCH('2.1 Customer Benefit Output'!$C29,'0. Control Panel'!$B$6:$B$16,0),MATCH(D$7,'0. Control Panel'!$B$6:$K$6,0)))</f>
        <v>-</v>
      </c>
      <c r="E29" s="6"/>
      <c r="G29" s="24">
        <f>IFERROR(-VLOOKUP($D29,'0. Control Panel'!$C$7:$F$16,4,FALSE)*(('2. Customer Benefit Input'!$F28+'2. Customer Benefit Input'!H28)*'2. Customer Benefit Input'!$L28)+(VLOOKUP($D29,'0. Control Panel'!$C$7:$F$16,4,FALSE)*('2. Customer Benefit Input'!$F28*'2. Customer Benefit Input'!$L28)),0)</f>
        <v>0</v>
      </c>
      <c r="H29" s="24">
        <f>IFERROR(-VLOOKUP($D29,'0. Control Panel'!$C$7:$F$16,4,FALSE)*(('2. Customer Benefit Input'!$F28+'2. Customer Benefit Input'!I28)*'2. Customer Benefit Input'!$L28)+(VLOOKUP($D29,'0. Control Panel'!$C$7:$F$16,4,FALSE)*('2. Customer Benefit Input'!$F28*'2. Customer Benefit Input'!$L28)),0)</f>
        <v>0</v>
      </c>
      <c r="I29" s="24">
        <f>IFERROR(-VLOOKUP($D29,'0. Control Panel'!$C$7:$F$16,4,FALSE)*(('2. Customer Benefit Input'!$F28+'2. Customer Benefit Input'!J28)*'2. Customer Benefit Input'!$L28)+(VLOOKUP($D29,'0. Control Panel'!$C$7:$F$16,4,FALSE)*('2. Customer Benefit Input'!$F28*'2. Customer Benefit Input'!$L28)),0)</f>
        <v>0</v>
      </c>
      <c r="K29" s="24">
        <f>IFERROR((VLOOKUP($D29,'0. Control Panel'!$C$7:$F$16,4,FALSE)*('2. Customer Benefit Input'!$F28+'2. Customer Benefit Input'!H28)*'2. Customer Benefit Input'!$L28)-(VLOOKUP($D29,'0. Control Panel'!$C$7:$F$16,4,FALSE)*('2. Customer Benefit Input'!$F28+'2. Customer Benefit Input'!H28)*'2. Customer Benefit Input'!N28),0)</f>
        <v>0</v>
      </c>
      <c r="L29" s="24">
        <f>IFERROR((VLOOKUP($D29,'0. Control Panel'!$C$7:$F$16,4,FALSE)*('2. Customer Benefit Input'!$F28+'2. Customer Benefit Input'!I28)*'2. Customer Benefit Input'!$L28)-(VLOOKUP($D29,'0. Control Panel'!$C$7:$F$16,4,FALSE)*('2. Customer Benefit Input'!$F28+'2. Customer Benefit Input'!I28)*'2. Customer Benefit Input'!O28),0)</f>
        <v>0</v>
      </c>
      <c r="M29" s="24">
        <f>IFERROR((VLOOKUP($D29,'0. Control Panel'!$C$7:$F$16,4,FALSE)*('2. Customer Benefit Input'!$F28+'2. Customer Benefit Input'!J28)*'2. Customer Benefit Input'!$L28)-(VLOOKUP($D29,'0. Control Panel'!$C$7:$F$16,4,FALSE)*('2. Customer Benefit Input'!$F28+'2. Customer Benefit Input'!J28)*'2. Customer Benefit Input'!P28),0)</f>
        <v>0</v>
      </c>
      <c r="N29" s="25"/>
      <c r="O29" s="24">
        <f>'2. Customer Benefit Input'!T28</f>
        <v>0</v>
      </c>
      <c r="P29" s="24">
        <f>'2. Customer Benefit Input'!U28</f>
        <v>0</v>
      </c>
      <c r="Q29" s="24">
        <f>'2. Customer Benefit Input'!V28</f>
        <v>0</v>
      </c>
      <c r="R29" s="25"/>
      <c r="S29" s="24">
        <f t="shared" si="21"/>
        <v>0</v>
      </c>
      <c r="T29" s="24">
        <f t="shared" si="18"/>
        <v>0</v>
      </c>
      <c r="U29" s="24">
        <f t="shared" si="19"/>
        <v>0</v>
      </c>
    </row>
    <row r="30" spans="1:21" x14ac:dyDescent="0.25">
      <c r="A30" s="34" t="str">
        <f t="shared" si="20"/>
        <v>-C2</v>
      </c>
      <c r="B30" s="34"/>
      <c r="C30" s="7" t="str">
        <f>IF(C29="-","-",IF(C29+1&gt;COUNTA('0. Control Panel'!$C$7:$C$16),"-",'2.1 Customer Benefit Output'!C29+1))</f>
        <v>-</v>
      </c>
      <c r="D30" s="17" t="str">
        <f>IF(C30="-","-",INDEX('0. Control Panel'!$B$6:$K$16,MATCH('2.1 Customer Benefit Output'!$C30,'0. Control Panel'!$B$6:$B$16,0),MATCH(D$7,'0. Control Panel'!$B$6:$K$6,0)))</f>
        <v>-</v>
      </c>
      <c r="E30" s="7"/>
      <c r="G30" s="24">
        <f>IFERROR(-VLOOKUP($D30,'0. Control Panel'!$C$7:$F$16,4,FALSE)*(('2. Customer Benefit Input'!$F29+'2. Customer Benefit Input'!H29)*'2. Customer Benefit Input'!$L29)+(VLOOKUP($D30,'0. Control Panel'!$C$7:$F$16,4,FALSE)*('2. Customer Benefit Input'!$F29*'2. Customer Benefit Input'!$L29)),0)</f>
        <v>0</v>
      </c>
      <c r="H30" s="24">
        <f>IFERROR(-VLOOKUP($D30,'0. Control Panel'!$C$7:$F$16,4,FALSE)*(('2. Customer Benefit Input'!$F29+'2. Customer Benefit Input'!I29)*'2. Customer Benefit Input'!$L29)+(VLOOKUP($D30,'0. Control Panel'!$C$7:$F$16,4,FALSE)*('2. Customer Benefit Input'!$F29*'2. Customer Benefit Input'!$L29)),0)</f>
        <v>0</v>
      </c>
      <c r="I30" s="24">
        <f>IFERROR(-VLOOKUP($D30,'0. Control Panel'!$C$7:$F$16,4,FALSE)*(('2. Customer Benefit Input'!$F29+'2. Customer Benefit Input'!J29)*'2. Customer Benefit Input'!$L29)+(VLOOKUP($D30,'0. Control Panel'!$C$7:$F$16,4,FALSE)*('2. Customer Benefit Input'!$F29*'2. Customer Benefit Input'!$L29)),0)</f>
        <v>0</v>
      </c>
      <c r="K30" s="24">
        <f>IFERROR((VLOOKUP($D30,'0. Control Panel'!$C$7:$F$16,4,FALSE)*('2. Customer Benefit Input'!$F29+'2. Customer Benefit Input'!H29)*'2. Customer Benefit Input'!$L29)-(VLOOKUP($D30,'0. Control Panel'!$C$7:$F$16,4,FALSE)*('2. Customer Benefit Input'!$F29+'2. Customer Benefit Input'!H29)*'2. Customer Benefit Input'!N29),0)</f>
        <v>0</v>
      </c>
      <c r="L30" s="24">
        <f>IFERROR((VLOOKUP($D30,'0. Control Panel'!$C$7:$F$16,4,FALSE)*('2. Customer Benefit Input'!$F29+'2. Customer Benefit Input'!I29)*'2. Customer Benefit Input'!$L29)-(VLOOKUP($D30,'0. Control Panel'!$C$7:$F$16,4,FALSE)*('2. Customer Benefit Input'!$F29+'2. Customer Benefit Input'!I29)*'2. Customer Benefit Input'!O29),0)</f>
        <v>0</v>
      </c>
      <c r="M30" s="24">
        <f>IFERROR((VLOOKUP($D30,'0. Control Panel'!$C$7:$F$16,4,FALSE)*('2. Customer Benefit Input'!$F29+'2. Customer Benefit Input'!J29)*'2. Customer Benefit Input'!$L29)-(VLOOKUP($D30,'0. Control Panel'!$C$7:$F$16,4,FALSE)*('2. Customer Benefit Input'!$F29+'2. Customer Benefit Input'!J29)*'2. Customer Benefit Input'!P29),0)</f>
        <v>0</v>
      </c>
      <c r="N30" s="25"/>
      <c r="O30" s="24">
        <f>'2. Customer Benefit Input'!T29</f>
        <v>0</v>
      </c>
      <c r="P30" s="24">
        <f>'2. Customer Benefit Input'!U29</f>
        <v>0</v>
      </c>
      <c r="Q30" s="24">
        <f>'2. Customer Benefit Input'!V29</f>
        <v>0</v>
      </c>
      <c r="R30" s="25"/>
      <c r="S30" s="24">
        <f t="shared" si="21"/>
        <v>0</v>
      </c>
      <c r="T30" s="24">
        <f t="shared" si="18"/>
        <v>0</v>
      </c>
      <c r="U30" s="24">
        <f t="shared" si="19"/>
        <v>0</v>
      </c>
    </row>
    <row r="31" spans="1:21" ht="16.5" thickBot="1" x14ac:dyDescent="0.3">
      <c r="A31" s="34" t="str">
        <f>D31&amp;$C$20</f>
        <v>All Departments/FunctionsC2</v>
      </c>
      <c r="B31" s="34"/>
      <c r="C31" s="23"/>
      <c r="D31" s="27" t="str">
        <f>D18</f>
        <v>All Departments/Functions</v>
      </c>
      <c r="E31" s="23"/>
      <c r="F31" s="23"/>
      <c r="G31" s="28">
        <f>SUM(G21:G30)</f>
        <v>321500</v>
      </c>
      <c r="H31" s="28">
        <f t="shared" ref="H31" si="22">SUM(H21:H30)</f>
        <v>618000</v>
      </c>
      <c r="I31" s="28">
        <f t="shared" ref="I31" si="23">SUM(I21:I30)</f>
        <v>1181000</v>
      </c>
      <c r="J31" s="23"/>
      <c r="K31" s="28">
        <f>SUM(K21:K30)</f>
        <v>0</v>
      </c>
      <c r="L31" s="28">
        <f t="shared" ref="L31" si="24">SUM(L21:L30)</f>
        <v>476072.5</v>
      </c>
      <c r="M31" s="28">
        <f t="shared" ref="M31" si="25">SUM(M21:M30)</f>
        <v>828944.99999999988</v>
      </c>
      <c r="N31" s="29"/>
      <c r="O31" s="28">
        <f t="shared" ref="O31" si="26">SUM(O21:O30)</f>
        <v>300000</v>
      </c>
      <c r="P31" s="28">
        <f t="shared" ref="P31" si="27">SUM(P21:P30)</f>
        <v>300000</v>
      </c>
      <c r="Q31" s="28">
        <f t="shared" ref="Q31" si="28">SUM(Q21:Q30)</f>
        <v>300000</v>
      </c>
      <c r="R31" s="29"/>
      <c r="S31" s="28">
        <f t="shared" ref="S31" si="29">SUM(S21:S30)</f>
        <v>621500</v>
      </c>
      <c r="T31" s="28">
        <f t="shared" ref="T31" si="30">SUM(T21:T30)</f>
        <v>1394072.5</v>
      </c>
      <c r="U31" s="28">
        <f t="shared" ref="U31" si="31">SUM(U21:U30)</f>
        <v>2309945</v>
      </c>
    </row>
    <row r="32" spans="1:21" ht="16.5" thickTop="1" x14ac:dyDescent="0.25">
      <c r="A32" s="34"/>
      <c r="B32" s="34"/>
      <c r="C32" s="4"/>
      <c r="D32" s="4"/>
      <c r="E32" s="4"/>
      <c r="F32" s="4"/>
      <c r="G32" s="25"/>
      <c r="H32" s="25"/>
      <c r="I32" s="25"/>
      <c r="J32" s="4"/>
      <c r="K32" s="25"/>
      <c r="L32" s="25"/>
      <c r="M32" s="25"/>
      <c r="N32" s="25"/>
      <c r="O32" s="25"/>
      <c r="P32" s="25"/>
      <c r="Q32" s="25"/>
      <c r="R32" s="25"/>
      <c r="S32" s="25"/>
      <c r="T32" s="25"/>
      <c r="U32" s="25"/>
    </row>
    <row r="33" spans="1:21" ht="15.95" customHeight="1" x14ac:dyDescent="0.25">
      <c r="A33" s="34"/>
      <c r="B33" s="34"/>
      <c r="C33" s="12" t="s">
        <v>14</v>
      </c>
      <c r="D33" s="30" t="str">
        <f>IF(INDEX('0. Control Panel'!$B$19:$C$29,MATCH('2.1 Customer Benefit Output'!$C33,'0. Control Panel'!$B$19:$B$29,0),2)="","n/a",INDEX('0. Control Panel'!$B$19:$C$29,MATCH('2.1 Customer Benefit Output'!$C33,'0. Control Panel'!$B$19:$B$29,0),2))</f>
        <v>Reduced Sales Cycle Time</v>
      </c>
      <c r="F33"/>
      <c r="G33" s="26"/>
      <c r="H33" s="26"/>
      <c r="I33" s="26"/>
      <c r="J33"/>
      <c r="K33" s="26"/>
      <c r="L33" s="26"/>
      <c r="M33" s="26"/>
      <c r="N33" s="26"/>
      <c r="O33" s="26"/>
      <c r="P33" s="26"/>
      <c r="Q33" s="26"/>
      <c r="R33" s="26"/>
      <c r="S33" s="26"/>
      <c r="T33" s="26"/>
      <c r="U33" s="26"/>
    </row>
    <row r="34" spans="1:21" x14ac:dyDescent="0.25">
      <c r="A34" s="34" t="str">
        <f>D34&amp;$C$33</f>
        <v>ITC3</v>
      </c>
      <c r="B34" s="34"/>
      <c r="C34" s="5">
        <v>1</v>
      </c>
      <c r="D34" s="15" t="str">
        <f>IF(C34="-","-",INDEX('0. Control Panel'!$B$6:$K$16,MATCH('2.1 Customer Benefit Output'!$C34,'0. Control Panel'!$B$6:$B$16,0),MATCH(D$7,'0. Control Panel'!$B$6:$K$6,0)))</f>
        <v>IT</v>
      </c>
      <c r="E34" s="5"/>
      <c r="G34" s="24">
        <f>IFERROR(-VLOOKUP($D34,'0. Control Panel'!$C$7:$F$16,4,FALSE)*(('2. Customer Benefit Input'!$F33+'2. Customer Benefit Input'!H33)*'2. Customer Benefit Input'!$L33)+(VLOOKUP($D34,'0. Control Panel'!$C$7:$F$16,4,FALSE)*('2. Customer Benefit Input'!$F33*'2. Customer Benefit Input'!$L33)),0)</f>
        <v>55000</v>
      </c>
      <c r="H34" s="24">
        <f>IFERROR(-VLOOKUP($D34,'0. Control Panel'!$C$7:$F$16,4,FALSE)*(('2. Customer Benefit Input'!$F33+'2. Customer Benefit Input'!I33)*'2. Customer Benefit Input'!$L33)+(VLOOKUP($D34,'0. Control Panel'!$C$7:$F$16,4,FALSE)*('2. Customer Benefit Input'!$F33*'2. Customer Benefit Input'!$L33)),0)</f>
        <v>220000.00000000012</v>
      </c>
      <c r="I34" s="24">
        <f>IFERROR(-VLOOKUP($D34,'0. Control Panel'!$C$7:$F$16,4,FALSE)*(('2. Customer Benefit Input'!$F33+'2. Customer Benefit Input'!J33)*'2. Customer Benefit Input'!$L33)+(VLOOKUP($D34,'0. Control Panel'!$C$7:$F$16,4,FALSE)*('2. Customer Benefit Input'!$F33*'2. Customer Benefit Input'!$L33)),0)</f>
        <v>385000.00000000012</v>
      </c>
      <c r="K34" s="24">
        <f>IFERROR((VLOOKUP($D34,'0. Control Panel'!$C$7:$F$16,4,FALSE)*('2. Customer Benefit Input'!$F33+'2. Customer Benefit Input'!H33)*'2. Customer Benefit Input'!$L33)-(VLOOKUP($D34,'0. Control Panel'!$C$7:$F$16,4,FALSE)*('2. Customer Benefit Input'!$F33+'2. Customer Benefit Input'!H33)*'2. Customer Benefit Input'!N33),0)</f>
        <v>0</v>
      </c>
      <c r="L34" s="24">
        <f>IFERROR((VLOOKUP($D34,'0. Control Panel'!$C$7:$F$16,4,FALSE)*('2. Customer Benefit Input'!$F33+'2. Customer Benefit Input'!I33)*'2. Customer Benefit Input'!$L33)-(VLOOKUP($D34,'0. Control Panel'!$C$7:$F$16,4,FALSE)*('2. Customer Benefit Input'!$F33+'2. Customer Benefit Input'!I33)*'2. Customer Benefit Input'!O33),0)</f>
        <v>0</v>
      </c>
      <c r="M34" s="24">
        <f>IFERROR((VLOOKUP($D34,'0. Control Panel'!$C$7:$F$16,4,FALSE)*('2. Customer Benefit Input'!$F33+'2. Customer Benefit Input'!J33)*'2. Customer Benefit Input'!$L33)-(VLOOKUP($D34,'0. Control Panel'!$C$7:$F$16,4,FALSE)*('2. Customer Benefit Input'!$F33+'2. Customer Benefit Input'!J33)*'2. Customer Benefit Input'!P33),0)</f>
        <v>0</v>
      </c>
      <c r="N34" s="25"/>
      <c r="O34" s="24">
        <f>'2. Customer Benefit Input'!T33</f>
        <v>0</v>
      </c>
      <c r="P34" s="24">
        <f>'2. Customer Benefit Input'!U33</f>
        <v>0</v>
      </c>
      <c r="Q34" s="24">
        <f>'2. Customer Benefit Input'!V33</f>
        <v>0</v>
      </c>
      <c r="R34" s="25"/>
      <c r="S34" s="24">
        <f>SUM(G34,K34,O34)</f>
        <v>55000</v>
      </c>
      <c r="T34" s="24">
        <f t="shared" ref="T34:T43" si="32">SUM(H34,L34,P34)</f>
        <v>220000.00000000012</v>
      </c>
      <c r="U34" s="24">
        <f t="shared" ref="U34:U43" si="33">SUM(I34,M34,Q34)</f>
        <v>385000.00000000012</v>
      </c>
    </row>
    <row r="35" spans="1:21" x14ac:dyDescent="0.25">
      <c r="A35" s="34" t="str">
        <f t="shared" ref="A35:A43" si="34">D35&amp;$C$33</f>
        <v>SalesC3</v>
      </c>
      <c r="B35" s="34"/>
      <c r="C35" s="6">
        <f>IF(C34="-","-",IF(C34+1&gt;COUNTA('0. Control Panel'!$C$7:$C$16),"-",'2.1 Customer Benefit Output'!C34+1))</f>
        <v>2</v>
      </c>
      <c r="D35" s="16" t="str">
        <f>IF(C35="-","-",INDEX('0. Control Panel'!$B$6:$K$16,MATCH('2.1 Customer Benefit Output'!$C35,'0. Control Panel'!$B$6:$B$16,0),MATCH(D$7,'0. Control Panel'!$B$6:$K$6,0)))</f>
        <v>Sales</v>
      </c>
      <c r="E35" s="6"/>
      <c r="G35" s="24">
        <f>IFERROR(-VLOOKUP($D35,'0. Control Panel'!$C$7:$F$16,4,FALSE)*(('2. Customer Benefit Input'!$F34+'2. Customer Benefit Input'!H34)*'2. Customer Benefit Input'!$L34)+(VLOOKUP($D35,'0. Control Panel'!$C$7:$F$16,4,FALSE)*('2. Customer Benefit Input'!$F34*'2. Customer Benefit Input'!$L34)),0)</f>
        <v>240000</v>
      </c>
      <c r="H35" s="24">
        <f>IFERROR(-VLOOKUP($D35,'0. Control Panel'!$C$7:$F$16,4,FALSE)*(('2. Customer Benefit Input'!$F34+'2. Customer Benefit Input'!I34)*'2. Customer Benefit Input'!$L34)+(VLOOKUP($D35,'0. Control Panel'!$C$7:$F$16,4,FALSE)*('2. Customer Benefit Input'!$F34*'2. Customer Benefit Input'!$L34)),0)</f>
        <v>480000</v>
      </c>
      <c r="I35" s="24">
        <f>IFERROR(-VLOOKUP($D35,'0. Control Panel'!$C$7:$F$16,4,FALSE)*(('2. Customer Benefit Input'!$F34+'2. Customer Benefit Input'!J34)*'2. Customer Benefit Input'!$L34)+(VLOOKUP($D35,'0. Control Panel'!$C$7:$F$16,4,FALSE)*('2. Customer Benefit Input'!$F34*'2. Customer Benefit Input'!$L34)),0)</f>
        <v>800000</v>
      </c>
      <c r="K35" s="24">
        <f>IFERROR((VLOOKUP($D35,'0. Control Panel'!$C$7:$F$16,4,FALSE)*('2. Customer Benefit Input'!$F34+'2. Customer Benefit Input'!H34)*'2. Customer Benefit Input'!$L34)-(VLOOKUP($D35,'0. Control Panel'!$C$7:$F$16,4,FALSE)*('2. Customer Benefit Input'!$F34+'2. Customer Benefit Input'!H34)*'2. Customer Benefit Input'!N34),0)</f>
        <v>0</v>
      </c>
      <c r="L35" s="24">
        <f>IFERROR((VLOOKUP($D35,'0. Control Panel'!$C$7:$F$16,4,FALSE)*('2. Customer Benefit Input'!$F34+'2. Customer Benefit Input'!I34)*'2. Customer Benefit Input'!$L34)-(VLOOKUP($D35,'0. Control Panel'!$C$7:$F$16,4,FALSE)*('2. Customer Benefit Input'!$F34+'2. Customer Benefit Input'!I34)*'2. Customer Benefit Input'!O34),0)</f>
        <v>0</v>
      </c>
      <c r="M35" s="24">
        <f>IFERROR((VLOOKUP($D35,'0. Control Panel'!$C$7:$F$16,4,FALSE)*('2. Customer Benefit Input'!$F34+'2. Customer Benefit Input'!J34)*'2. Customer Benefit Input'!$L34)-(VLOOKUP($D35,'0. Control Panel'!$C$7:$F$16,4,FALSE)*('2. Customer Benefit Input'!$F34+'2. Customer Benefit Input'!J34)*'2. Customer Benefit Input'!P34),0)</f>
        <v>0</v>
      </c>
      <c r="N35" s="25"/>
      <c r="O35" s="24">
        <f>'2. Customer Benefit Input'!T34</f>
        <v>0</v>
      </c>
      <c r="P35" s="24">
        <f>'2. Customer Benefit Input'!U34</f>
        <v>0</v>
      </c>
      <c r="Q35" s="24">
        <f>'2. Customer Benefit Input'!V34</f>
        <v>0</v>
      </c>
      <c r="R35" s="25"/>
      <c r="S35" s="24">
        <f t="shared" ref="S35:S43" si="35">SUM(G35,K35,O35)</f>
        <v>240000</v>
      </c>
      <c r="T35" s="24">
        <f t="shared" si="32"/>
        <v>480000</v>
      </c>
      <c r="U35" s="24">
        <f t="shared" si="33"/>
        <v>800000</v>
      </c>
    </row>
    <row r="36" spans="1:21" x14ac:dyDescent="0.25">
      <c r="A36" s="34" t="str">
        <f t="shared" si="34"/>
        <v>Product AC3</v>
      </c>
      <c r="B36" s="34"/>
      <c r="C36" s="6">
        <f>IF(C35="-","-",IF(C35+1&gt;COUNTA('0. Control Panel'!$C$7:$C$16),"-",'2.1 Customer Benefit Output'!C35+1))</f>
        <v>3</v>
      </c>
      <c r="D36" s="16" t="str">
        <f>IF(C36="-","-",INDEX('0. Control Panel'!$B$6:$K$16,MATCH('2.1 Customer Benefit Output'!$C36,'0. Control Panel'!$B$6:$B$16,0),MATCH(D$7,'0. Control Panel'!$B$6:$K$6,0)))</f>
        <v>Product A</v>
      </c>
      <c r="E36" s="6"/>
      <c r="G36" s="24">
        <f>IFERROR(-VLOOKUP($D36,'0. Control Panel'!$C$7:$F$16,4,FALSE)*(('2. Customer Benefit Input'!$F35+'2. Customer Benefit Input'!H35)*'2. Customer Benefit Input'!$L35)+(VLOOKUP($D36,'0. Control Panel'!$C$7:$F$16,4,FALSE)*('2. Customer Benefit Input'!$F35*'2. Customer Benefit Input'!$L35)),0)</f>
        <v>134000</v>
      </c>
      <c r="H36" s="24">
        <f>IFERROR(-VLOOKUP($D36,'0. Control Panel'!$C$7:$F$16,4,FALSE)*(('2. Customer Benefit Input'!$F35+'2. Customer Benefit Input'!I35)*'2. Customer Benefit Input'!$L35)+(VLOOKUP($D36,'0. Control Panel'!$C$7:$F$16,4,FALSE)*('2. Customer Benefit Input'!$F35*'2. Customer Benefit Input'!$L35)),0)</f>
        <v>0</v>
      </c>
      <c r="I36" s="24">
        <f>IFERROR(-VLOOKUP($D36,'0. Control Panel'!$C$7:$F$16,4,FALSE)*(('2. Customer Benefit Input'!$F35+'2. Customer Benefit Input'!J35)*'2. Customer Benefit Input'!$L35)+(VLOOKUP($D36,'0. Control Panel'!$C$7:$F$16,4,FALSE)*('2. Customer Benefit Input'!$F35*'2. Customer Benefit Input'!$L35)),0)</f>
        <v>0</v>
      </c>
      <c r="K36" s="24">
        <f>IFERROR((VLOOKUP($D36,'0. Control Panel'!$C$7:$F$16,4,FALSE)*('2. Customer Benefit Input'!$F35+'2. Customer Benefit Input'!H35)*'2. Customer Benefit Input'!$L35)-(VLOOKUP($D36,'0. Control Panel'!$C$7:$F$16,4,FALSE)*('2. Customer Benefit Input'!$F35+'2. Customer Benefit Input'!H35)*'2. Customer Benefit Input'!N35),0)</f>
        <v>0</v>
      </c>
      <c r="L36" s="24">
        <f>IFERROR((VLOOKUP($D36,'0. Control Panel'!$C$7:$F$16,4,FALSE)*('2. Customer Benefit Input'!$F35+'2. Customer Benefit Input'!I35)*'2. Customer Benefit Input'!$L35)-(VLOOKUP($D36,'0. Control Panel'!$C$7:$F$16,4,FALSE)*('2. Customer Benefit Input'!$F35+'2. Customer Benefit Input'!I35)*'2. Customer Benefit Input'!O35),0)</f>
        <v>0</v>
      </c>
      <c r="M36" s="24">
        <f>IFERROR((VLOOKUP($D36,'0. Control Panel'!$C$7:$F$16,4,FALSE)*('2. Customer Benefit Input'!$F35+'2. Customer Benefit Input'!J35)*'2. Customer Benefit Input'!$L35)-(VLOOKUP($D36,'0. Control Panel'!$C$7:$F$16,4,FALSE)*('2. Customer Benefit Input'!$F35+'2. Customer Benefit Input'!J35)*'2. Customer Benefit Input'!P35),0)</f>
        <v>0</v>
      </c>
      <c r="N36" s="25"/>
      <c r="O36" s="24">
        <f>'2. Customer Benefit Input'!T35</f>
        <v>0</v>
      </c>
      <c r="P36" s="24">
        <f>'2. Customer Benefit Input'!U35</f>
        <v>0</v>
      </c>
      <c r="Q36" s="24">
        <f>'2. Customer Benefit Input'!V35</f>
        <v>0</v>
      </c>
      <c r="R36" s="25"/>
      <c r="S36" s="24">
        <f t="shared" si="35"/>
        <v>134000</v>
      </c>
      <c r="T36" s="24">
        <f t="shared" si="32"/>
        <v>0</v>
      </c>
      <c r="U36" s="24">
        <f t="shared" si="33"/>
        <v>0</v>
      </c>
    </row>
    <row r="37" spans="1:21" x14ac:dyDescent="0.25">
      <c r="A37" s="34" t="str">
        <f t="shared" si="34"/>
        <v>Product BC3</v>
      </c>
      <c r="B37" s="34"/>
      <c r="C37" s="6">
        <f>IF(C36="-","-",IF(C36+1&gt;COUNTA('0. Control Panel'!$C$7:$C$16),"-",'2.1 Customer Benefit Output'!C36+1))</f>
        <v>4</v>
      </c>
      <c r="D37" s="16" t="str">
        <f>IF(C37="-","-",INDEX('0. Control Panel'!$B$6:$K$16,MATCH('2.1 Customer Benefit Output'!$C37,'0. Control Panel'!$B$6:$B$16,0),MATCH(D$7,'0. Control Panel'!$B$6:$K$6,0)))</f>
        <v>Product B</v>
      </c>
      <c r="E37" s="6"/>
      <c r="G37" s="24">
        <f>IFERROR(-VLOOKUP($D37,'0. Control Panel'!$C$7:$F$16,4,FALSE)*(('2. Customer Benefit Input'!$F36+'2. Customer Benefit Input'!H36)*'2. Customer Benefit Input'!$L36)+(VLOOKUP($D37,'0. Control Panel'!$C$7:$F$16,4,FALSE)*('2. Customer Benefit Input'!$F36*'2. Customer Benefit Input'!$L36)),0)</f>
        <v>0</v>
      </c>
      <c r="H37" s="24">
        <f>IFERROR(-VLOOKUP($D37,'0. Control Panel'!$C$7:$F$16,4,FALSE)*(('2. Customer Benefit Input'!$F36+'2. Customer Benefit Input'!I36)*'2. Customer Benefit Input'!$L36)+(VLOOKUP($D37,'0. Control Panel'!$C$7:$F$16,4,FALSE)*('2. Customer Benefit Input'!$F36*'2. Customer Benefit Input'!$L36)),0)</f>
        <v>256000</v>
      </c>
      <c r="I37" s="24">
        <f>IFERROR(-VLOOKUP($D37,'0. Control Panel'!$C$7:$F$16,4,FALSE)*(('2. Customer Benefit Input'!$F36+'2. Customer Benefit Input'!J36)*'2. Customer Benefit Input'!$L36)+(VLOOKUP($D37,'0. Control Panel'!$C$7:$F$16,4,FALSE)*('2. Customer Benefit Input'!$F36*'2. Customer Benefit Input'!$L36)),0)</f>
        <v>0</v>
      </c>
      <c r="K37" s="24">
        <f>IFERROR((VLOOKUP($D37,'0. Control Panel'!$C$7:$F$16,4,FALSE)*('2. Customer Benefit Input'!$F36+'2. Customer Benefit Input'!H36)*'2. Customer Benefit Input'!$L36)-(VLOOKUP($D37,'0. Control Panel'!$C$7:$F$16,4,FALSE)*('2. Customer Benefit Input'!$F36+'2. Customer Benefit Input'!H36)*'2. Customer Benefit Input'!N36),0)</f>
        <v>0</v>
      </c>
      <c r="L37" s="24">
        <f>IFERROR((VLOOKUP($D37,'0. Control Panel'!$C$7:$F$16,4,FALSE)*('2. Customer Benefit Input'!$F36+'2. Customer Benefit Input'!I36)*'2. Customer Benefit Input'!$L36)-(VLOOKUP($D37,'0. Control Panel'!$C$7:$F$16,4,FALSE)*('2. Customer Benefit Input'!$F36+'2. Customer Benefit Input'!I36)*'2. Customer Benefit Input'!O36),0)</f>
        <v>0</v>
      </c>
      <c r="M37" s="24">
        <f>IFERROR((VLOOKUP($D37,'0. Control Panel'!$C$7:$F$16,4,FALSE)*('2. Customer Benefit Input'!$F36+'2. Customer Benefit Input'!J36)*'2. Customer Benefit Input'!$L36)-(VLOOKUP($D37,'0. Control Panel'!$C$7:$F$16,4,FALSE)*('2. Customer Benefit Input'!$F36+'2. Customer Benefit Input'!J36)*'2. Customer Benefit Input'!P36),0)</f>
        <v>0</v>
      </c>
      <c r="N37" s="25"/>
      <c r="O37" s="24">
        <f>'2. Customer Benefit Input'!T36</f>
        <v>0</v>
      </c>
      <c r="P37" s="24">
        <f>'2. Customer Benefit Input'!U36</f>
        <v>0</v>
      </c>
      <c r="Q37" s="24">
        <f>'2. Customer Benefit Input'!V36</f>
        <v>0</v>
      </c>
      <c r="R37" s="25"/>
      <c r="S37" s="24">
        <f t="shared" si="35"/>
        <v>0</v>
      </c>
      <c r="T37" s="24">
        <f t="shared" si="32"/>
        <v>256000</v>
      </c>
      <c r="U37" s="24">
        <f t="shared" si="33"/>
        <v>0</v>
      </c>
    </row>
    <row r="38" spans="1:21" x14ac:dyDescent="0.25">
      <c r="A38" s="34" t="str">
        <f t="shared" si="34"/>
        <v>R&amp;DC3</v>
      </c>
      <c r="B38" s="34"/>
      <c r="C38" s="6">
        <f>IF(C37="-","-",IF(C37+1&gt;COUNTA('0. Control Panel'!$C$7:$C$16),"-",'2.1 Customer Benefit Output'!C37+1))</f>
        <v>5</v>
      </c>
      <c r="D38" s="16" t="str">
        <f>IF(C38="-","-",INDEX('0. Control Panel'!$B$6:$K$16,MATCH('2.1 Customer Benefit Output'!$C38,'0. Control Panel'!$B$6:$B$16,0),MATCH(D$7,'0. Control Panel'!$B$6:$K$6,0)))</f>
        <v>R&amp;D</v>
      </c>
      <c r="E38" s="6"/>
      <c r="G38" s="24">
        <f>IFERROR(-VLOOKUP($D38,'0. Control Panel'!$C$7:$F$16,4,FALSE)*(('2. Customer Benefit Input'!$F37+'2. Customer Benefit Input'!H37)*'2. Customer Benefit Input'!$L37)+(VLOOKUP($D38,'0. Control Panel'!$C$7:$F$16,4,FALSE)*('2. Customer Benefit Input'!$F37*'2. Customer Benefit Input'!$L37)),0)</f>
        <v>0</v>
      </c>
      <c r="H38" s="24">
        <f>IFERROR(-VLOOKUP($D38,'0. Control Panel'!$C$7:$F$16,4,FALSE)*(('2. Customer Benefit Input'!$F37+'2. Customer Benefit Input'!I37)*'2. Customer Benefit Input'!$L37)+(VLOOKUP($D38,'0. Control Panel'!$C$7:$F$16,4,FALSE)*('2. Customer Benefit Input'!$F37*'2. Customer Benefit Input'!$L37)),0)</f>
        <v>0</v>
      </c>
      <c r="I38" s="24">
        <f>IFERROR(-VLOOKUP($D38,'0. Control Panel'!$C$7:$F$16,4,FALSE)*(('2. Customer Benefit Input'!$F37+'2. Customer Benefit Input'!J37)*'2. Customer Benefit Input'!$L37)+(VLOOKUP($D38,'0. Control Panel'!$C$7:$F$16,4,FALSE)*('2. Customer Benefit Input'!$F37*'2. Customer Benefit Input'!$L37)),0)</f>
        <v>0</v>
      </c>
      <c r="K38" s="24">
        <f>IFERROR((VLOOKUP($D38,'0. Control Panel'!$C$7:$F$16,4,FALSE)*('2. Customer Benefit Input'!$F37+'2. Customer Benefit Input'!H37)*'2. Customer Benefit Input'!$L37)-(VLOOKUP($D38,'0. Control Panel'!$C$7:$F$16,4,FALSE)*('2. Customer Benefit Input'!$F37+'2. Customer Benefit Input'!H37)*'2. Customer Benefit Input'!N37),0)</f>
        <v>0</v>
      </c>
      <c r="L38" s="24">
        <f>IFERROR((VLOOKUP($D38,'0. Control Panel'!$C$7:$F$16,4,FALSE)*('2. Customer Benefit Input'!$F37+'2. Customer Benefit Input'!I37)*'2. Customer Benefit Input'!$L37)-(VLOOKUP($D38,'0. Control Panel'!$C$7:$F$16,4,FALSE)*('2. Customer Benefit Input'!$F37+'2. Customer Benefit Input'!I37)*'2. Customer Benefit Input'!O37),0)</f>
        <v>0</v>
      </c>
      <c r="M38" s="24">
        <f>IFERROR((VLOOKUP($D38,'0. Control Panel'!$C$7:$F$16,4,FALSE)*('2. Customer Benefit Input'!$F37+'2. Customer Benefit Input'!J37)*'2. Customer Benefit Input'!$L37)-(VLOOKUP($D38,'0. Control Panel'!$C$7:$F$16,4,FALSE)*('2. Customer Benefit Input'!$F37+'2. Customer Benefit Input'!J37)*'2. Customer Benefit Input'!P37),0)</f>
        <v>0</v>
      </c>
      <c r="N38" s="25"/>
      <c r="O38" s="24">
        <f>'2. Customer Benefit Input'!T37</f>
        <v>0</v>
      </c>
      <c r="P38" s="24">
        <f>'2. Customer Benefit Input'!U37</f>
        <v>0</v>
      </c>
      <c r="Q38" s="24">
        <f>'2. Customer Benefit Input'!V37</f>
        <v>0</v>
      </c>
      <c r="R38" s="25"/>
      <c r="S38" s="24">
        <f t="shared" si="35"/>
        <v>0</v>
      </c>
      <c r="T38" s="24">
        <f t="shared" si="32"/>
        <v>0</v>
      </c>
      <c r="U38" s="24">
        <f t="shared" si="33"/>
        <v>0</v>
      </c>
    </row>
    <row r="39" spans="1:21" x14ac:dyDescent="0.25">
      <c r="A39" s="34" t="str">
        <f t="shared" si="34"/>
        <v>HRC3</v>
      </c>
      <c r="B39" s="34"/>
      <c r="C39" s="6">
        <f>IF(C38="-","-",IF(C38+1&gt;COUNTA('0. Control Panel'!$C$7:$C$16),"-",'2.1 Customer Benefit Output'!C38+1))</f>
        <v>6</v>
      </c>
      <c r="D39" s="16" t="str">
        <f>IF(C39="-","-",INDEX('0. Control Panel'!$B$6:$K$16,MATCH('2.1 Customer Benefit Output'!$C39,'0. Control Panel'!$B$6:$B$16,0),MATCH(D$7,'0. Control Panel'!$B$6:$K$6,0)))</f>
        <v>HR</v>
      </c>
      <c r="E39" s="6"/>
      <c r="G39" s="24">
        <f>IFERROR(-VLOOKUP($D39,'0. Control Panel'!$C$7:$F$16,4,FALSE)*(('2. Customer Benefit Input'!$F38+'2. Customer Benefit Input'!H38)*'2. Customer Benefit Input'!$L38)+(VLOOKUP($D39,'0. Control Panel'!$C$7:$F$16,4,FALSE)*('2. Customer Benefit Input'!$F38*'2. Customer Benefit Input'!$L38)),0)</f>
        <v>0</v>
      </c>
      <c r="H39" s="24">
        <f>IFERROR(-VLOOKUP($D39,'0. Control Panel'!$C$7:$F$16,4,FALSE)*(('2. Customer Benefit Input'!$F38+'2. Customer Benefit Input'!I38)*'2. Customer Benefit Input'!$L38)+(VLOOKUP($D39,'0. Control Panel'!$C$7:$F$16,4,FALSE)*('2. Customer Benefit Input'!$F38*'2. Customer Benefit Input'!$L38)),0)</f>
        <v>0</v>
      </c>
      <c r="I39" s="24">
        <f>IFERROR(-VLOOKUP($D39,'0. Control Panel'!$C$7:$F$16,4,FALSE)*(('2. Customer Benefit Input'!$F38+'2. Customer Benefit Input'!J38)*'2. Customer Benefit Input'!$L38)+(VLOOKUP($D39,'0. Control Panel'!$C$7:$F$16,4,FALSE)*('2. Customer Benefit Input'!$F38*'2. Customer Benefit Input'!$L38)),0)</f>
        <v>0</v>
      </c>
      <c r="K39" s="24">
        <f>IFERROR((VLOOKUP($D39,'0. Control Panel'!$C$7:$F$16,4,FALSE)*('2. Customer Benefit Input'!$F38+'2. Customer Benefit Input'!H38)*'2. Customer Benefit Input'!$L38)-(VLOOKUP($D39,'0. Control Panel'!$C$7:$F$16,4,FALSE)*('2. Customer Benefit Input'!$F38+'2. Customer Benefit Input'!H38)*'2. Customer Benefit Input'!N38),0)</f>
        <v>0</v>
      </c>
      <c r="L39" s="24">
        <f>IFERROR((VLOOKUP($D39,'0. Control Panel'!$C$7:$F$16,4,FALSE)*('2. Customer Benefit Input'!$F38+'2. Customer Benefit Input'!I38)*'2. Customer Benefit Input'!$L38)-(VLOOKUP($D39,'0. Control Panel'!$C$7:$F$16,4,FALSE)*('2. Customer Benefit Input'!$F38+'2. Customer Benefit Input'!I38)*'2. Customer Benefit Input'!O38),0)</f>
        <v>0</v>
      </c>
      <c r="M39" s="24">
        <f>IFERROR((VLOOKUP($D39,'0. Control Panel'!$C$7:$F$16,4,FALSE)*('2. Customer Benefit Input'!$F38+'2. Customer Benefit Input'!J38)*'2. Customer Benefit Input'!$L38)-(VLOOKUP($D39,'0. Control Panel'!$C$7:$F$16,4,FALSE)*('2. Customer Benefit Input'!$F38+'2. Customer Benefit Input'!J38)*'2. Customer Benefit Input'!P38),0)</f>
        <v>0</v>
      </c>
      <c r="N39" s="25"/>
      <c r="O39" s="24">
        <f>'2. Customer Benefit Input'!T38</f>
        <v>0</v>
      </c>
      <c r="P39" s="24">
        <f>'2. Customer Benefit Input'!U38</f>
        <v>0</v>
      </c>
      <c r="Q39" s="24">
        <f>'2. Customer Benefit Input'!V38</f>
        <v>0</v>
      </c>
      <c r="R39" s="25"/>
      <c r="S39" s="24">
        <f t="shared" si="35"/>
        <v>0</v>
      </c>
      <c r="T39" s="24">
        <f t="shared" si="32"/>
        <v>0</v>
      </c>
      <c r="U39" s="24">
        <f t="shared" si="33"/>
        <v>0</v>
      </c>
    </row>
    <row r="40" spans="1:21" x14ac:dyDescent="0.25">
      <c r="A40" s="34" t="str">
        <f t="shared" si="34"/>
        <v>FinanceC3</v>
      </c>
      <c r="B40" s="34"/>
      <c r="C40" s="6">
        <f>IF(C39="-","-",IF(C39+1&gt;COUNTA('0. Control Panel'!$C$7:$C$16),"-",'2.1 Customer Benefit Output'!C39+1))</f>
        <v>7</v>
      </c>
      <c r="D40" s="16" t="str">
        <f>IF(C40="-","-",INDEX('0. Control Panel'!$B$6:$K$16,MATCH('2.1 Customer Benefit Output'!$C40,'0. Control Panel'!$B$6:$B$16,0),MATCH(D$7,'0. Control Panel'!$B$6:$K$6,0)))</f>
        <v>Finance</v>
      </c>
      <c r="E40" s="6"/>
      <c r="G40" s="24">
        <f>IFERROR(-VLOOKUP($D40,'0. Control Panel'!$C$7:$F$16,4,FALSE)*(('2. Customer Benefit Input'!$F39+'2. Customer Benefit Input'!H39)*'2. Customer Benefit Input'!$L39)+(VLOOKUP($D40,'0. Control Panel'!$C$7:$F$16,4,FALSE)*('2. Customer Benefit Input'!$F39*'2. Customer Benefit Input'!$L39)),0)</f>
        <v>0</v>
      </c>
      <c r="H40" s="24">
        <f>IFERROR(-VLOOKUP($D40,'0. Control Panel'!$C$7:$F$16,4,FALSE)*(('2. Customer Benefit Input'!$F39+'2. Customer Benefit Input'!I39)*'2. Customer Benefit Input'!$L39)+(VLOOKUP($D40,'0. Control Panel'!$C$7:$F$16,4,FALSE)*('2. Customer Benefit Input'!$F39*'2. Customer Benefit Input'!$L39)),0)</f>
        <v>53000</v>
      </c>
      <c r="I40" s="24">
        <f>IFERROR(-VLOOKUP($D40,'0. Control Panel'!$C$7:$F$16,4,FALSE)*(('2. Customer Benefit Input'!$F39+'2. Customer Benefit Input'!J39)*'2. Customer Benefit Input'!$L39)+(VLOOKUP($D40,'0. Control Panel'!$C$7:$F$16,4,FALSE)*('2. Customer Benefit Input'!$F39*'2. Customer Benefit Input'!$L39)),0)</f>
        <v>79500</v>
      </c>
      <c r="K40" s="24">
        <f>IFERROR((VLOOKUP($D40,'0. Control Panel'!$C$7:$F$16,4,FALSE)*('2. Customer Benefit Input'!$F39+'2. Customer Benefit Input'!H39)*'2. Customer Benefit Input'!$L39)-(VLOOKUP($D40,'0. Control Panel'!$C$7:$F$16,4,FALSE)*('2. Customer Benefit Input'!$F39+'2. Customer Benefit Input'!H39)*'2. Customer Benefit Input'!N39),0)</f>
        <v>0</v>
      </c>
      <c r="L40" s="24">
        <f>IFERROR((VLOOKUP($D40,'0. Control Panel'!$C$7:$F$16,4,FALSE)*('2. Customer Benefit Input'!$F39+'2. Customer Benefit Input'!I39)*'2. Customer Benefit Input'!$L39)-(VLOOKUP($D40,'0. Control Panel'!$C$7:$F$16,4,FALSE)*('2. Customer Benefit Input'!$F39+'2. Customer Benefit Input'!I39)*'2. Customer Benefit Input'!O39),0)</f>
        <v>0</v>
      </c>
      <c r="M40" s="24">
        <f>IFERROR((VLOOKUP($D40,'0. Control Panel'!$C$7:$F$16,4,FALSE)*('2. Customer Benefit Input'!$F39+'2. Customer Benefit Input'!J39)*'2. Customer Benefit Input'!$L39)-(VLOOKUP($D40,'0. Control Panel'!$C$7:$F$16,4,FALSE)*('2. Customer Benefit Input'!$F39+'2. Customer Benefit Input'!J39)*'2. Customer Benefit Input'!P39),0)</f>
        <v>0</v>
      </c>
      <c r="N40" s="25"/>
      <c r="O40" s="24">
        <f>'2. Customer Benefit Input'!T39</f>
        <v>0</v>
      </c>
      <c r="P40" s="24">
        <f>'2. Customer Benefit Input'!U39</f>
        <v>0</v>
      </c>
      <c r="Q40" s="24">
        <f>'2. Customer Benefit Input'!V39</f>
        <v>0</v>
      </c>
      <c r="R40" s="25"/>
      <c r="S40" s="24">
        <f t="shared" si="35"/>
        <v>0</v>
      </c>
      <c r="T40" s="24">
        <f t="shared" si="32"/>
        <v>53000</v>
      </c>
      <c r="U40" s="24">
        <f t="shared" si="33"/>
        <v>79500</v>
      </c>
    </row>
    <row r="41" spans="1:21" x14ac:dyDescent="0.25">
      <c r="A41" s="34" t="str">
        <f t="shared" si="34"/>
        <v>Head OfficeC3</v>
      </c>
      <c r="B41" s="34"/>
      <c r="C41" s="6">
        <f>IF(C40="-","-",IF(C40+1&gt;COUNTA('0. Control Panel'!$C$7:$C$16),"-",'2.1 Customer Benefit Output'!C40+1))</f>
        <v>8</v>
      </c>
      <c r="D41" s="16" t="str">
        <f>IF(C41="-","-",INDEX('0. Control Panel'!$B$6:$K$16,MATCH('2.1 Customer Benefit Output'!$C41,'0. Control Panel'!$B$6:$B$16,0),MATCH(D$7,'0. Control Panel'!$B$6:$K$6,0)))</f>
        <v>Head Office</v>
      </c>
      <c r="E41" s="6"/>
      <c r="G41" s="24">
        <f>IFERROR(-VLOOKUP($D41,'0. Control Panel'!$C$7:$F$16,4,FALSE)*(('2. Customer Benefit Input'!$F40+'2. Customer Benefit Input'!H40)*'2. Customer Benefit Input'!$L40)+(VLOOKUP($D41,'0. Control Panel'!$C$7:$F$16,4,FALSE)*('2. Customer Benefit Input'!$F40*'2. Customer Benefit Input'!$L40)),0)</f>
        <v>0</v>
      </c>
      <c r="H41" s="24">
        <f>IFERROR(-VLOOKUP($D41,'0. Control Panel'!$C$7:$F$16,4,FALSE)*(('2. Customer Benefit Input'!$F40+'2. Customer Benefit Input'!I40)*'2. Customer Benefit Input'!$L40)+(VLOOKUP($D41,'0. Control Panel'!$C$7:$F$16,4,FALSE)*('2. Customer Benefit Input'!$F40*'2. Customer Benefit Input'!$L40)),0)</f>
        <v>0</v>
      </c>
      <c r="I41" s="24">
        <f>IFERROR(-VLOOKUP($D41,'0. Control Panel'!$C$7:$F$16,4,FALSE)*(('2. Customer Benefit Input'!$F40+'2. Customer Benefit Input'!J40)*'2. Customer Benefit Input'!$L40)+(VLOOKUP($D41,'0. Control Panel'!$C$7:$F$16,4,FALSE)*('2. Customer Benefit Input'!$F40*'2. Customer Benefit Input'!$L40)),0)</f>
        <v>0</v>
      </c>
      <c r="K41" s="24">
        <f>IFERROR((VLOOKUP($D41,'0. Control Panel'!$C$7:$F$16,4,FALSE)*('2. Customer Benefit Input'!$F40+'2. Customer Benefit Input'!H40)*'2. Customer Benefit Input'!$L40)-(VLOOKUP($D41,'0. Control Panel'!$C$7:$F$16,4,FALSE)*('2. Customer Benefit Input'!$F40+'2. Customer Benefit Input'!H40)*'2. Customer Benefit Input'!N40),0)</f>
        <v>0</v>
      </c>
      <c r="L41" s="24">
        <f>IFERROR((VLOOKUP($D41,'0. Control Panel'!$C$7:$F$16,4,FALSE)*('2. Customer Benefit Input'!$F40+'2. Customer Benefit Input'!I40)*'2. Customer Benefit Input'!$L40)-(VLOOKUP($D41,'0. Control Panel'!$C$7:$F$16,4,FALSE)*('2. Customer Benefit Input'!$F40+'2. Customer Benefit Input'!I40)*'2. Customer Benefit Input'!O40),0)</f>
        <v>0</v>
      </c>
      <c r="M41" s="24">
        <f>IFERROR((VLOOKUP($D41,'0. Control Panel'!$C$7:$F$16,4,FALSE)*('2. Customer Benefit Input'!$F40+'2. Customer Benefit Input'!J40)*'2. Customer Benefit Input'!$L40)-(VLOOKUP($D41,'0. Control Panel'!$C$7:$F$16,4,FALSE)*('2. Customer Benefit Input'!$F40+'2. Customer Benefit Input'!J40)*'2. Customer Benefit Input'!P40),0)</f>
        <v>0</v>
      </c>
      <c r="N41" s="25"/>
      <c r="O41" s="24">
        <f>'2. Customer Benefit Input'!T40</f>
        <v>0</v>
      </c>
      <c r="P41" s="24">
        <f>'2. Customer Benefit Input'!U40</f>
        <v>0</v>
      </c>
      <c r="Q41" s="24">
        <f>'2. Customer Benefit Input'!V40</f>
        <v>0</v>
      </c>
      <c r="R41" s="25"/>
      <c r="S41" s="24">
        <f t="shared" si="35"/>
        <v>0</v>
      </c>
      <c r="T41" s="24">
        <f t="shared" si="32"/>
        <v>0</v>
      </c>
      <c r="U41" s="24">
        <f t="shared" si="33"/>
        <v>0</v>
      </c>
    </row>
    <row r="42" spans="1:21" x14ac:dyDescent="0.25">
      <c r="A42" s="34" t="str">
        <f t="shared" si="34"/>
        <v>-C3</v>
      </c>
      <c r="B42" s="34"/>
      <c r="C42" s="6" t="str">
        <f>IF(C41="-","-",IF(C41+1&gt;COUNTA('0. Control Panel'!$C$7:$C$16),"-",'2.1 Customer Benefit Output'!C41+1))</f>
        <v>-</v>
      </c>
      <c r="D42" s="16" t="str">
        <f>IF(C42="-","-",INDEX('0. Control Panel'!$B$6:$K$16,MATCH('2.1 Customer Benefit Output'!$C42,'0. Control Panel'!$B$6:$B$16,0),MATCH(D$7,'0. Control Panel'!$B$6:$K$6,0)))</f>
        <v>-</v>
      </c>
      <c r="E42" s="6"/>
      <c r="G42" s="24">
        <f>IFERROR(-VLOOKUP($D42,'0. Control Panel'!$C$7:$F$16,4,FALSE)*(('2. Customer Benefit Input'!$F41+'2. Customer Benefit Input'!H41)*'2. Customer Benefit Input'!$L41)+(VLOOKUP($D42,'0. Control Panel'!$C$7:$F$16,4,FALSE)*('2. Customer Benefit Input'!$F41*'2. Customer Benefit Input'!$L41)),0)</f>
        <v>0</v>
      </c>
      <c r="H42" s="24">
        <f>IFERROR(-VLOOKUP($D42,'0. Control Panel'!$C$7:$F$16,4,FALSE)*(('2. Customer Benefit Input'!$F41+'2. Customer Benefit Input'!I41)*'2. Customer Benefit Input'!$L41)+(VLOOKUP($D42,'0. Control Panel'!$C$7:$F$16,4,FALSE)*('2. Customer Benefit Input'!$F41*'2. Customer Benefit Input'!$L41)),0)</f>
        <v>0</v>
      </c>
      <c r="I42" s="24">
        <f>IFERROR(-VLOOKUP($D42,'0. Control Panel'!$C$7:$F$16,4,FALSE)*(('2. Customer Benefit Input'!$F41+'2. Customer Benefit Input'!J41)*'2. Customer Benefit Input'!$L41)+(VLOOKUP($D42,'0. Control Panel'!$C$7:$F$16,4,FALSE)*('2. Customer Benefit Input'!$F41*'2. Customer Benefit Input'!$L41)),0)</f>
        <v>0</v>
      </c>
      <c r="K42" s="24">
        <f>IFERROR((VLOOKUP($D42,'0. Control Panel'!$C$7:$F$16,4,FALSE)*('2. Customer Benefit Input'!$F41+'2. Customer Benefit Input'!H41)*'2. Customer Benefit Input'!$L41)-(VLOOKUP($D42,'0. Control Panel'!$C$7:$F$16,4,FALSE)*('2. Customer Benefit Input'!$F41+'2. Customer Benefit Input'!H41)*'2. Customer Benefit Input'!N41),0)</f>
        <v>0</v>
      </c>
      <c r="L42" s="24">
        <f>IFERROR((VLOOKUP($D42,'0. Control Panel'!$C$7:$F$16,4,FALSE)*('2. Customer Benefit Input'!$F41+'2. Customer Benefit Input'!I41)*'2. Customer Benefit Input'!$L41)-(VLOOKUP($D42,'0. Control Panel'!$C$7:$F$16,4,FALSE)*('2. Customer Benefit Input'!$F41+'2. Customer Benefit Input'!I41)*'2. Customer Benefit Input'!O41),0)</f>
        <v>0</v>
      </c>
      <c r="M42" s="24">
        <f>IFERROR((VLOOKUP($D42,'0. Control Panel'!$C$7:$F$16,4,FALSE)*('2. Customer Benefit Input'!$F41+'2. Customer Benefit Input'!J41)*'2. Customer Benefit Input'!$L41)-(VLOOKUP($D42,'0. Control Panel'!$C$7:$F$16,4,FALSE)*('2. Customer Benefit Input'!$F41+'2. Customer Benefit Input'!J41)*'2. Customer Benefit Input'!P41),0)</f>
        <v>0</v>
      </c>
      <c r="N42" s="25"/>
      <c r="O42" s="24">
        <f>'2. Customer Benefit Input'!T41</f>
        <v>0</v>
      </c>
      <c r="P42" s="24">
        <f>'2. Customer Benefit Input'!U41</f>
        <v>0</v>
      </c>
      <c r="Q42" s="24">
        <f>'2. Customer Benefit Input'!V41</f>
        <v>0</v>
      </c>
      <c r="R42" s="25"/>
      <c r="S42" s="24">
        <f t="shared" si="35"/>
        <v>0</v>
      </c>
      <c r="T42" s="24">
        <f t="shared" si="32"/>
        <v>0</v>
      </c>
      <c r="U42" s="24">
        <f t="shared" si="33"/>
        <v>0</v>
      </c>
    </row>
    <row r="43" spans="1:21" x14ac:dyDescent="0.25">
      <c r="A43" s="34" t="str">
        <f t="shared" si="34"/>
        <v>-C3</v>
      </c>
      <c r="B43" s="34"/>
      <c r="C43" s="7" t="str">
        <f>IF(C42="-","-",IF(C42+1&gt;COUNTA('0. Control Panel'!$C$7:$C$16),"-",'2.1 Customer Benefit Output'!C42+1))</f>
        <v>-</v>
      </c>
      <c r="D43" s="17" t="str">
        <f>IF(C43="-","-",INDEX('0. Control Panel'!$B$6:$K$16,MATCH('2.1 Customer Benefit Output'!$C43,'0. Control Panel'!$B$6:$B$16,0),MATCH(D$7,'0. Control Panel'!$B$6:$K$6,0)))</f>
        <v>-</v>
      </c>
      <c r="E43" s="7"/>
      <c r="G43" s="24">
        <f>IFERROR(-VLOOKUP($D43,'0. Control Panel'!$C$7:$F$16,4,FALSE)*(('2. Customer Benefit Input'!$F42+'2. Customer Benefit Input'!H42)*'2. Customer Benefit Input'!$L42)+(VLOOKUP($D43,'0. Control Panel'!$C$7:$F$16,4,FALSE)*('2. Customer Benefit Input'!$F42*'2. Customer Benefit Input'!$L42)),0)</f>
        <v>0</v>
      </c>
      <c r="H43" s="24">
        <f>IFERROR(-VLOOKUP($D43,'0. Control Panel'!$C$7:$F$16,4,FALSE)*(('2. Customer Benefit Input'!$F42+'2. Customer Benefit Input'!I42)*'2. Customer Benefit Input'!$L42)+(VLOOKUP($D43,'0. Control Panel'!$C$7:$F$16,4,FALSE)*('2. Customer Benefit Input'!$F42*'2. Customer Benefit Input'!$L42)),0)</f>
        <v>0</v>
      </c>
      <c r="I43" s="24">
        <f>IFERROR(-VLOOKUP($D43,'0. Control Panel'!$C$7:$F$16,4,FALSE)*(('2. Customer Benefit Input'!$F42+'2. Customer Benefit Input'!J42)*'2. Customer Benefit Input'!$L42)+(VLOOKUP($D43,'0. Control Panel'!$C$7:$F$16,4,FALSE)*('2. Customer Benefit Input'!$F42*'2. Customer Benefit Input'!$L42)),0)</f>
        <v>0</v>
      </c>
      <c r="K43" s="24">
        <f>IFERROR((VLOOKUP($D43,'0. Control Panel'!$C$7:$F$16,4,FALSE)*('2. Customer Benefit Input'!$F42+'2. Customer Benefit Input'!H42)*'2. Customer Benefit Input'!$L42)-(VLOOKUP($D43,'0. Control Panel'!$C$7:$F$16,4,FALSE)*('2. Customer Benefit Input'!$F42+'2. Customer Benefit Input'!H42)*'2. Customer Benefit Input'!N42),0)</f>
        <v>0</v>
      </c>
      <c r="L43" s="24">
        <f>IFERROR((VLOOKUP($D43,'0. Control Panel'!$C$7:$F$16,4,FALSE)*('2. Customer Benefit Input'!$F42+'2. Customer Benefit Input'!I42)*'2. Customer Benefit Input'!$L42)-(VLOOKUP($D43,'0. Control Panel'!$C$7:$F$16,4,FALSE)*('2. Customer Benefit Input'!$F42+'2. Customer Benefit Input'!I42)*'2. Customer Benefit Input'!O42),0)</f>
        <v>0</v>
      </c>
      <c r="M43" s="24">
        <f>IFERROR((VLOOKUP($D43,'0. Control Panel'!$C$7:$F$16,4,FALSE)*('2. Customer Benefit Input'!$F42+'2. Customer Benefit Input'!J42)*'2. Customer Benefit Input'!$L42)-(VLOOKUP($D43,'0. Control Panel'!$C$7:$F$16,4,FALSE)*('2. Customer Benefit Input'!$F42+'2. Customer Benefit Input'!J42)*'2. Customer Benefit Input'!P42),0)</f>
        <v>0</v>
      </c>
      <c r="N43" s="25"/>
      <c r="O43" s="24">
        <f>'2. Customer Benefit Input'!T42</f>
        <v>0</v>
      </c>
      <c r="P43" s="24">
        <f>'2. Customer Benefit Input'!U42</f>
        <v>0</v>
      </c>
      <c r="Q43" s="24">
        <f>'2. Customer Benefit Input'!V42</f>
        <v>0</v>
      </c>
      <c r="R43" s="25"/>
      <c r="S43" s="24">
        <f t="shared" si="35"/>
        <v>0</v>
      </c>
      <c r="T43" s="24">
        <f t="shared" si="32"/>
        <v>0</v>
      </c>
      <c r="U43" s="24">
        <f t="shared" si="33"/>
        <v>0</v>
      </c>
    </row>
    <row r="44" spans="1:21" ht="16.5" thickBot="1" x14ac:dyDescent="0.3">
      <c r="A44" s="34" t="str">
        <f>D44&amp;$C$33</f>
        <v>All Departments/FunctionsC3</v>
      </c>
      <c r="B44" s="34"/>
      <c r="C44" s="23"/>
      <c r="D44" s="27" t="str">
        <f>D31</f>
        <v>All Departments/Functions</v>
      </c>
      <c r="E44" s="23"/>
      <c r="F44" s="23"/>
      <c r="G44" s="28">
        <f>SUM(G34:G43)</f>
        <v>429000</v>
      </c>
      <c r="H44" s="28">
        <f t="shared" ref="H44" si="36">SUM(H34:H43)</f>
        <v>1009000.0000000001</v>
      </c>
      <c r="I44" s="28">
        <f t="shared" ref="I44" si="37">SUM(I34:I43)</f>
        <v>1264500</v>
      </c>
      <c r="J44" s="23"/>
      <c r="K44" s="28">
        <f>SUM(K34:K43)</f>
        <v>0</v>
      </c>
      <c r="L44" s="28">
        <f t="shared" ref="L44" si="38">SUM(L34:L43)</f>
        <v>0</v>
      </c>
      <c r="M44" s="28">
        <f t="shared" ref="M44" si="39">SUM(M34:M43)</f>
        <v>0</v>
      </c>
      <c r="N44" s="29"/>
      <c r="O44" s="28">
        <f t="shared" ref="O44" si="40">SUM(O34:O43)</f>
        <v>0</v>
      </c>
      <c r="P44" s="28">
        <f t="shared" ref="P44" si="41">SUM(P34:P43)</f>
        <v>0</v>
      </c>
      <c r="Q44" s="28">
        <f t="shared" ref="Q44" si="42">SUM(Q34:Q43)</f>
        <v>0</v>
      </c>
      <c r="R44" s="29"/>
      <c r="S44" s="28">
        <f t="shared" ref="S44" si="43">SUM(S34:S43)</f>
        <v>429000</v>
      </c>
      <c r="T44" s="28">
        <f t="shared" ref="T44" si="44">SUM(T34:T43)</f>
        <v>1009000.0000000001</v>
      </c>
      <c r="U44" s="28">
        <f t="shared" ref="U44" si="45">SUM(U34:U43)</f>
        <v>1264500</v>
      </c>
    </row>
    <row r="45" spans="1:21" ht="16.5" thickTop="1" x14ac:dyDescent="0.25">
      <c r="A45" s="34"/>
      <c r="B45" s="34"/>
      <c r="F45"/>
      <c r="G45" s="26"/>
      <c r="H45" s="26"/>
      <c r="I45" s="26"/>
      <c r="J45"/>
      <c r="K45" s="26"/>
      <c r="L45" s="26"/>
      <c r="M45" s="26"/>
      <c r="N45" s="26"/>
      <c r="O45" s="26"/>
      <c r="P45" s="26"/>
      <c r="Q45" s="26"/>
      <c r="R45" s="26"/>
      <c r="S45" s="26"/>
      <c r="T45" s="26"/>
      <c r="U45" s="26"/>
    </row>
    <row r="46" spans="1:21" ht="15.95" customHeight="1" x14ac:dyDescent="0.25">
      <c r="A46" s="34"/>
      <c r="B46" s="34"/>
      <c r="C46" s="12" t="s">
        <v>15</v>
      </c>
      <c r="D46" s="30" t="str">
        <f>IF(INDEX('0. Control Panel'!$B$19:$C$29,MATCH('2.1 Customer Benefit Output'!$C46,'0. Control Panel'!$B$19:$B$29,0),2)="","n/a",INDEX('0. Control Panel'!$B$19:$C$29,MATCH('2.1 Customer Benefit Output'!$C46,'0. Control Panel'!$B$19:$B$29,0),2))</f>
        <v>Increased Cross-Sell / Up-Sell</v>
      </c>
      <c r="F46"/>
      <c r="G46" s="26"/>
      <c r="H46" s="26"/>
      <c r="I46" s="26"/>
      <c r="J46"/>
      <c r="K46" s="26"/>
      <c r="L46" s="26"/>
      <c r="M46" s="26"/>
      <c r="N46" s="26"/>
      <c r="O46" s="26"/>
      <c r="P46" s="26"/>
      <c r="Q46" s="26"/>
      <c r="R46" s="26"/>
      <c r="S46" s="26"/>
      <c r="T46" s="26"/>
      <c r="U46" s="26"/>
    </row>
    <row r="47" spans="1:21" x14ac:dyDescent="0.25">
      <c r="A47" s="34" t="str">
        <f>D47&amp;$C$46</f>
        <v>ITC4</v>
      </c>
      <c r="B47" s="34"/>
      <c r="C47" s="5">
        <v>1</v>
      </c>
      <c r="D47" s="15" t="str">
        <f>IF(C47="-","-",INDEX('0. Control Panel'!$B$6:$K$16,MATCH('2.1 Customer Benefit Output'!$C47,'0. Control Panel'!$B$6:$B$16,0),MATCH(D$7,'0. Control Panel'!$B$6:$K$6,0)))</f>
        <v>IT</v>
      </c>
      <c r="E47" s="5"/>
      <c r="G47" s="24">
        <f>IFERROR(-VLOOKUP($D47,'0. Control Panel'!$C$7:$F$16,4,FALSE)*(('2. Customer Benefit Input'!$F46+'2. Customer Benefit Input'!H46)*'2. Customer Benefit Input'!$L46)+(VLOOKUP($D47,'0. Control Panel'!$C$7:$F$16,4,FALSE)*('2. Customer Benefit Input'!$F46*'2. Customer Benefit Input'!$L46)),0)</f>
        <v>0</v>
      </c>
      <c r="H47" s="24">
        <f>IFERROR(-VLOOKUP($D47,'0. Control Panel'!$C$7:$F$16,4,FALSE)*(('2. Customer Benefit Input'!$F46+'2. Customer Benefit Input'!I46)*'2. Customer Benefit Input'!$L46)+(VLOOKUP($D47,'0. Control Panel'!$C$7:$F$16,4,FALSE)*('2. Customer Benefit Input'!$F46*'2. Customer Benefit Input'!$L46)),0)</f>
        <v>0</v>
      </c>
      <c r="I47" s="24">
        <f>IFERROR(-VLOOKUP($D47,'0. Control Panel'!$C$7:$F$16,4,FALSE)*(('2. Customer Benefit Input'!$F46+'2. Customer Benefit Input'!J46)*'2. Customer Benefit Input'!$L46)+(VLOOKUP($D47,'0. Control Panel'!$C$7:$F$16,4,FALSE)*('2. Customer Benefit Input'!$F46*'2. Customer Benefit Input'!$L46)),0)</f>
        <v>0</v>
      </c>
      <c r="K47" s="24">
        <f>IFERROR((VLOOKUP($D47,'0. Control Panel'!$C$7:$F$16,4,FALSE)*('2. Customer Benefit Input'!$F46+'2. Customer Benefit Input'!H46)*'2. Customer Benefit Input'!$L46)-(VLOOKUP($D47,'0. Control Panel'!$C$7:$F$16,4,FALSE)*('2. Customer Benefit Input'!$F46+'2. Customer Benefit Input'!H46)*'2. Customer Benefit Input'!N46),0)</f>
        <v>0</v>
      </c>
      <c r="L47" s="24">
        <f>IFERROR((VLOOKUP($D47,'0. Control Panel'!$C$7:$F$16,4,FALSE)*('2. Customer Benefit Input'!$F46+'2. Customer Benefit Input'!I46)*'2. Customer Benefit Input'!$L46)-(VLOOKUP($D47,'0. Control Panel'!$C$7:$F$16,4,FALSE)*('2. Customer Benefit Input'!$F46+'2. Customer Benefit Input'!I46)*'2. Customer Benefit Input'!O46),0)</f>
        <v>0</v>
      </c>
      <c r="M47" s="24">
        <f>IFERROR((VLOOKUP($D47,'0. Control Panel'!$C$7:$F$16,4,FALSE)*('2. Customer Benefit Input'!$F46+'2. Customer Benefit Input'!J46)*'2. Customer Benefit Input'!$L46)-(VLOOKUP($D47,'0. Control Panel'!$C$7:$F$16,4,FALSE)*('2. Customer Benefit Input'!$F46+'2. Customer Benefit Input'!J46)*'2. Customer Benefit Input'!P46),0)</f>
        <v>0</v>
      </c>
      <c r="N47" s="25"/>
      <c r="O47" s="24">
        <f>'2. Customer Benefit Input'!T46</f>
        <v>0</v>
      </c>
      <c r="P47" s="24">
        <f>'2. Customer Benefit Input'!U46</f>
        <v>0</v>
      </c>
      <c r="Q47" s="24">
        <f>'2. Customer Benefit Input'!V46</f>
        <v>0</v>
      </c>
      <c r="R47" s="25"/>
      <c r="S47" s="24">
        <f>SUM(G47,K47,O47)</f>
        <v>0</v>
      </c>
      <c r="T47" s="24">
        <f t="shared" ref="T47:T56" si="46">SUM(H47,L47,P47)</f>
        <v>0</v>
      </c>
      <c r="U47" s="24">
        <f t="shared" ref="U47:U56" si="47">SUM(I47,M47,Q47)</f>
        <v>0</v>
      </c>
    </row>
    <row r="48" spans="1:21" x14ac:dyDescent="0.25">
      <c r="A48" s="34" t="str">
        <f t="shared" ref="A48:A56" si="48">D48&amp;$C$46</f>
        <v>SalesC4</v>
      </c>
      <c r="B48" s="34"/>
      <c r="C48" s="6">
        <f>IF(C47="-","-",IF(C47+1&gt;COUNTA('0. Control Panel'!$C$7:$C$16),"-",'2.1 Customer Benefit Output'!C47+1))</f>
        <v>2</v>
      </c>
      <c r="D48" s="16" t="str">
        <f>IF(C48="-","-",INDEX('0. Control Panel'!$B$6:$K$16,MATCH('2.1 Customer Benefit Output'!$C48,'0. Control Panel'!$B$6:$B$16,0),MATCH(D$7,'0. Control Panel'!$B$6:$K$6,0)))</f>
        <v>Sales</v>
      </c>
      <c r="E48" s="6"/>
      <c r="G48" s="24">
        <f>IFERROR(-VLOOKUP($D48,'0. Control Panel'!$C$7:$F$16,4,FALSE)*(('2. Customer Benefit Input'!$F47+'2. Customer Benefit Input'!H47)*'2. Customer Benefit Input'!$L47)+(VLOOKUP($D48,'0. Control Panel'!$C$7:$F$16,4,FALSE)*('2. Customer Benefit Input'!$F47*'2. Customer Benefit Input'!$L47)),0)</f>
        <v>0</v>
      </c>
      <c r="H48" s="24">
        <f>IFERROR(-VLOOKUP($D48,'0. Control Panel'!$C$7:$F$16,4,FALSE)*(('2. Customer Benefit Input'!$F47+'2. Customer Benefit Input'!I47)*'2. Customer Benefit Input'!$L47)+(VLOOKUP($D48,'0. Control Panel'!$C$7:$F$16,4,FALSE)*('2. Customer Benefit Input'!$F47*'2. Customer Benefit Input'!$L47)),0)</f>
        <v>320000</v>
      </c>
      <c r="I48" s="24">
        <f>IFERROR(-VLOOKUP($D48,'0. Control Panel'!$C$7:$F$16,4,FALSE)*(('2. Customer Benefit Input'!$F47+'2. Customer Benefit Input'!J47)*'2. Customer Benefit Input'!$L47)+(VLOOKUP($D48,'0. Control Panel'!$C$7:$F$16,4,FALSE)*('2. Customer Benefit Input'!$F47*'2. Customer Benefit Input'!$L47)),0)</f>
        <v>800000</v>
      </c>
      <c r="K48" s="24">
        <f>IFERROR((VLOOKUP($D48,'0. Control Panel'!$C$7:$F$16,4,FALSE)*('2. Customer Benefit Input'!$F47+'2. Customer Benefit Input'!H47)*'2. Customer Benefit Input'!$L47)-(VLOOKUP($D48,'0. Control Panel'!$C$7:$F$16,4,FALSE)*('2. Customer Benefit Input'!$F47+'2. Customer Benefit Input'!H47)*'2. Customer Benefit Input'!N47),0)</f>
        <v>0</v>
      </c>
      <c r="L48" s="24">
        <f>IFERROR((VLOOKUP($D48,'0. Control Panel'!$C$7:$F$16,4,FALSE)*('2. Customer Benefit Input'!$F47+'2. Customer Benefit Input'!I47)*'2. Customer Benefit Input'!$L47)-(VLOOKUP($D48,'0. Control Panel'!$C$7:$F$16,4,FALSE)*('2. Customer Benefit Input'!$F47+'2. Customer Benefit Input'!I47)*'2. Customer Benefit Input'!O47),0)</f>
        <v>0</v>
      </c>
      <c r="M48" s="24">
        <f>IFERROR((VLOOKUP($D48,'0. Control Panel'!$C$7:$F$16,4,FALSE)*('2. Customer Benefit Input'!$F47+'2. Customer Benefit Input'!J47)*'2. Customer Benefit Input'!$L47)-(VLOOKUP($D48,'0. Control Panel'!$C$7:$F$16,4,FALSE)*('2. Customer Benefit Input'!$F47+'2. Customer Benefit Input'!J47)*'2. Customer Benefit Input'!P47),0)</f>
        <v>0</v>
      </c>
      <c r="N48" s="25"/>
      <c r="O48" s="24">
        <f>'2. Customer Benefit Input'!T47</f>
        <v>450000</v>
      </c>
      <c r="P48" s="24">
        <f>'2. Customer Benefit Input'!U47</f>
        <v>450000</v>
      </c>
      <c r="Q48" s="24">
        <f>'2. Customer Benefit Input'!V47</f>
        <v>450000</v>
      </c>
      <c r="R48" s="25"/>
      <c r="S48" s="24">
        <f t="shared" ref="S48:S56" si="49">SUM(G48,K48,O48)</f>
        <v>450000</v>
      </c>
      <c r="T48" s="24">
        <f t="shared" si="46"/>
        <v>770000</v>
      </c>
      <c r="U48" s="24">
        <f t="shared" si="47"/>
        <v>1250000</v>
      </c>
    </row>
    <row r="49" spans="1:21" x14ac:dyDescent="0.25">
      <c r="A49" s="34" t="str">
        <f t="shared" si="48"/>
        <v>Product AC4</v>
      </c>
      <c r="B49" s="34"/>
      <c r="C49" s="6">
        <f>IF(C48="-","-",IF(C48+1&gt;COUNTA('0. Control Panel'!$C$7:$C$16),"-",'2.1 Customer Benefit Output'!C48+1))</f>
        <v>3</v>
      </c>
      <c r="D49" s="16" t="str">
        <f>IF(C49="-","-",INDEX('0. Control Panel'!$B$6:$K$16,MATCH('2.1 Customer Benefit Output'!$C49,'0. Control Panel'!$B$6:$B$16,0),MATCH(D$7,'0. Control Panel'!$B$6:$K$6,0)))</f>
        <v>Product A</v>
      </c>
      <c r="E49" s="6"/>
      <c r="G49" s="24">
        <f>IFERROR(-VLOOKUP($D49,'0. Control Panel'!$C$7:$F$16,4,FALSE)*(('2. Customer Benefit Input'!$F48+'2. Customer Benefit Input'!H48)*'2. Customer Benefit Input'!$L48)+(VLOOKUP($D49,'0. Control Panel'!$C$7:$F$16,4,FALSE)*('2. Customer Benefit Input'!$F48*'2. Customer Benefit Input'!$L48)),0)</f>
        <v>0</v>
      </c>
      <c r="H49" s="24">
        <f>IFERROR(-VLOOKUP($D49,'0. Control Panel'!$C$7:$F$16,4,FALSE)*(('2. Customer Benefit Input'!$F48+'2. Customer Benefit Input'!I48)*'2. Customer Benefit Input'!$L48)+(VLOOKUP($D49,'0. Control Panel'!$C$7:$F$16,4,FALSE)*('2. Customer Benefit Input'!$F48*'2. Customer Benefit Input'!$L48)),0)</f>
        <v>20100</v>
      </c>
      <c r="I49" s="24">
        <f>IFERROR(-VLOOKUP($D49,'0. Control Panel'!$C$7:$F$16,4,FALSE)*(('2. Customer Benefit Input'!$F48+'2. Customer Benefit Input'!J48)*'2. Customer Benefit Input'!$L48)+(VLOOKUP($D49,'0. Control Panel'!$C$7:$F$16,4,FALSE)*('2. Customer Benefit Input'!$F48*'2. Customer Benefit Input'!$L48)),0)</f>
        <v>60300.000000000058</v>
      </c>
      <c r="K49" s="24">
        <f>IFERROR((VLOOKUP($D49,'0. Control Panel'!$C$7:$F$16,4,FALSE)*('2. Customer Benefit Input'!$F48+'2. Customer Benefit Input'!H48)*'2. Customer Benefit Input'!$L48)-(VLOOKUP($D49,'0. Control Panel'!$C$7:$F$16,4,FALSE)*('2. Customer Benefit Input'!$F48+'2. Customer Benefit Input'!H48)*'2. Customer Benefit Input'!N48),0)</f>
        <v>0</v>
      </c>
      <c r="L49" s="24">
        <f>IFERROR((VLOOKUP($D49,'0. Control Panel'!$C$7:$F$16,4,FALSE)*('2. Customer Benefit Input'!$F48+'2. Customer Benefit Input'!I48)*'2. Customer Benefit Input'!$L48)-(VLOOKUP($D49,'0. Control Panel'!$C$7:$F$16,4,FALSE)*('2. Customer Benefit Input'!$F48+'2. Customer Benefit Input'!I48)*'2. Customer Benefit Input'!O48),0)</f>
        <v>0</v>
      </c>
      <c r="M49" s="24">
        <f>IFERROR((VLOOKUP($D49,'0. Control Panel'!$C$7:$F$16,4,FALSE)*('2. Customer Benefit Input'!$F48+'2. Customer Benefit Input'!J48)*'2. Customer Benefit Input'!$L48)-(VLOOKUP($D49,'0. Control Panel'!$C$7:$F$16,4,FALSE)*('2. Customer Benefit Input'!$F48+'2. Customer Benefit Input'!J48)*'2. Customer Benefit Input'!P48),0)</f>
        <v>0</v>
      </c>
      <c r="N49" s="25"/>
      <c r="O49" s="24">
        <f>'2. Customer Benefit Input'!T48</f>
        <v>0</v>
      </c>
      <c r="P49" s="24">
        <f>'2. Customer Benefit Input'!U48</f>
        <v>0</v>
      </c>
      <c r="Q49" s="24">
        <f>'2. Customer Benefit Input'!V48</f>
        <v>0</v>
      </c>
      <c r="R49" s="25"/>
      <c r="S49" s="24">
        <f t="shared" si="49"/>
        <v>0</v>
      </c>
      <c r="T49" s="24">
        <f t="shared" si="46"/>
        <v>20100</v>
      </c>
      <c r="U49" s="24">
        <f t="shared" si="47"/>
        <v>60300.000000000058</v>
      </c>
    </row>
    <row r="50" spans="1:21" x14ac:dyDescent="0.25">
      <c r="A50" s="34" t="str">
        <f t="shared" si="48"/>
        <v>Product BC4</v>
      </c>
      <c r="B50" s="34"/>
      <c r="C50" s="6">
        <f>IF(C49="-","-",IF(C49+1&gt;COUNTA('0. Control Panel'!$C$7:$C$16),"-",'2.1 Customer Benefit Output'!C49+1))</f>
        <v>4</v>
      </c>
      <c r="D50" s="16" t="str">
        <f>IF(C50="-","-",INDEX('0. Control Panel'!$B$6:$K$16,MATCH('2.1 Customer Benefit Output'!$C50,'0. Control Panel'!$B$6:$B$16,0),MATCH(D$7,'0. Control Panel'!$B$6:$K$6,0)))</f>
        <v>Product B</v>
      </c>
      <c r="E50" s="6"/>
      <c r="G50" s="24">
        <f>IFERROR(-VLOOKUP($D50,'0. Control Panel'!$C$7:$F$16,4,FALSE)*(('2. Customer Benefit Input'!$F49+'2. Customer Benefit Input'!H49)*'2. Customer Benefit Input'!$L49)+(VLOOKUP($D50,'0. Control Panel'!$C$7:$F$16,4,FALSE)*('2. Customer Benefit Input'!$F49*'2. Customer Benefit Input'!$L49)),0)</f>
        <v>0</v>
      </c>
      <c r="H50" s="24">
        <f>IFERROR(-VLOOKUP($D50,'0. Control Panel'!$C$7:$F$16,4,FALSE)*(('2. Customer Benefit Input'!$F49+'2. Customer Benefit Input'!I49)*'2. Customer Benefit Input'!$L49)+(VLOOKUP($D50,'0. Control Panel'!$C$7:$F$16,4,FALSE)*('2. Customer Benefit Input'!$F49*'2. Customer Benefit Input'!$L49)),0)</f>
        <v>96000</v>
      </c>
      <c r="I50" s="24">
        <f>IFERROR(-VLOOKUP($D50,'0. Control Panel'!$C$7:$F$16,4,FALSE)*(('2. Customer Benefit Input'!$F49+'2. Customer Benefit Input'!J49)*'2. Customer Benefit Input'!$L49)+(VLOOKUP($D50,'0. Control Panel'!$C$7:$F$16,4,FALSE)*('2. Customer Benefit Input'!$F49*'2. Customer Benefit Input'!$L49)),0)</f>
        <v>224000</v>
      </c>
      <c r="K50" s="24">
        <f>IFERROR((VLOOKUP($D50,'0. Control Panel'!$C$7:$F$16,4,FALSE)*('2. Customer Benefit Input'!$F49+'2. Customer Benefit Input'!H49)*'2. Customer Benefit Input'!$L49)-(VLOOKUP($D50,'0. Control Panel'!$C$7:$F$16,4,FALSE)*('2. Customer Benefit Input'!$F49+'2. Customer Benefit Input'!H49)*'2. Customer Benefit Input'!N49),0)</f>
        <v>0</v>
      </c>
      <c r="L50" s="24">
        <f>IFERROR((VLOOKUP($D50,'0. Control Panel'!$C$7:$F$16,4,FALSE)*('2. Customer Benefit Input'!$F49+'2. Customer Benefit Input'!I49)*'2. Customer Benefit Input'!$L49)-(VLOOKUP($D50,'0. Control Panel'!$C$7:$F$16,4,FALSE)*('2. Customer Benefit Input'!$F49+'2. Customer Benefit Input'!I49)*'2. Customer Benefit Input'!O49),0)</f>
        <v>0</v>
      </c>
      <c r="M50" s="24">
        <f>IFERROR((VLOOKUP($D50,'0. Control Panel'!$C$7:$F$16,4,FALSE)*('2. Customer Benefit Input'!$F49+'2. Customer Benefit Input'!J49)*'2. Customer Benefit Input'!$L49)-(VLOOKUP($D50,'0. Control Panel'!$C$7:$F$16,4,FALSE)*('2. Customer Benefit Input'!$F49+'2. Customer Benefit Input'!J49)*'2. Customer Benefit Input'!P49),0)</f>
        <v>0</v>
      </c>
      <c r="N50" s="25"/>
      <c r="O50" s="24">
        <f>'2. Customer Benefit Input'!T49</f>
        <v>0</v>
      </c>
      <c r="P50" s="24">
        <f>'2. Customer Benefit Input'!U49</f>
        <v>0</v>
      </c>
      <c r="Q50" s="24">
        <f>'2. Customer Benefit Input'!V49</f>
        <v>0</v>
      </c>
      <c r="R50" s="25"/>
      <c r="S50" s="24">
        <f t="shared" si="49"/>
        <v>0</v>
      </c>
      <c r="T50" s="24">
        <f t="shared" si="46"/>
        <v>96000</v>
      </c>
      <c r="U50" s="24">
        <f t="shared" si="47"/>
        <v>224000</v>
      </c>
    </row>
    <row r="51" spans="1:21" x14ac:dyDescent="0.25">
      <c r="A51" s="34" t="str">
        <f t="shared" si="48"/>
        <v>R&amp;DC4</v>
      </c>
      <c r="B51" s="34"/>
      <c r="C51" s="6">
        <f>IF(C50="-","-",IF(C50+1&gt;COUNTA('0. Control Panel'!$C$7:$C$16),"-",'2.1 Customer Benefit Output'!C50+1))</f>
        <v>5</v>
      </c>
      <c r="D51" s="16" t="str">
        <f>IF(C51="-","-",INDEX('0. Control Panel'!$B$6:$K$16,MATCH('2.1 Customer Benefit Output'!$C51,'0. Control Panel'!$B$6:$B$16,0),MATCH(D$7,'0. Control Panel'!$B$6:$K$6,0)))</f>
        <v>R&amp;D</v>
      </c>
      <c r="E51" s="6"/>
      <c r="G51" s="24">
        <f>IFERROR(-VLOOKUP($D51,'0. Control Panel'!$C$7:$F$16,4,FALSE)*(('2. Customer Benefit Input'!$F50+'2. Customer Benefit Input'!H50)*'2. Customer Benefit Input'!$L50)+(VLOOKUP($D51,'0. Control Panel'!$C$7:$F$16,4,FALSE)*('2. Customer Benefit Input'!$F50*'2. Customer Benefit Input'!$L50)),0)</f>
        <v>0</v>
      </c>
      <c r="H51" s="24">
        <f>IFERROR(-VLOOKUP($D51,'0. Control Panel'!$C$7:$F$16,4,FALSE)*(('2. Customer Benefit Input'!$F50+'2. Customer Benefit Input'!I50)*'2. Customer Benefit Input'!$L50)+(VLOOKUP($D51,'0. Control Panel'!$C$7:$F$16,4,FALSE)*('2. Customer Benefit Input'!$F50*'2. Customer Benefit Input'!$L50)),0)</f>
        <v>0</v>
      </c>
      <c r="I51" s="24">
        <f>IFERROR(-VLOOKUP($D51,'0. Control Panel'!$C$7:$F$16,4,FALSE)*(('2. Customer Benefit Input'!$F50+'2. Customer Benefit Input'!J50)*'2. Customer Benefit Input'!$L50)+(VLOOKUP($D51,'0. Control Panel'!$C$7:$F$16,4,FALSE)*('2. Customer Benefit Input'!$F50*'2. Customer Benefit Input'!$L50)),0)</f>
        <v>0</v>
      </c>
      <c r="K51" s="24">
        <f>IFERROR((VLOOKUP($D51,'0. Control Panel'!$C$7:$F$16,4,FALSE)*('2. Customer Benefit Input'!$F50+'2. Customer Benefit Input'!H50)*'2. Customer Benefit Input'!$L50)-(VLOOKUP($D51,'0. Control Panel'!$C$7:$F$16,4,FALSE)*('2. Customer Benefit Input'!$F50+'2. Customer Benefit Input'!H50)*'2. Customer Benefit Input'!N50),0)</f>
        <v>0</v>
      </c>
      <c r="L51" s="24">
        <f>IFERROR((VLOOKUP($D51,'0. Control Panel'!$C$7:$F$16,4,FALSE)*('2. Customer Benefit Input'!$F50+'2. Customer Benefit Input'!I50)*'2. Customer Benefit Input'!$L50)-(VLOOKUP($D51,'0. Control Panel'!$C$7:$F$16,4,FALSE)*('2. Customer Benefit Input'!$F50+'2. Customer Benefit Input'!I50)*'2. Customer Benefit Input'!O50),0)</f>
        <v>0</v>
      </c>
      <c r="M51" s="24">
        <f>IFERROR((VLOOKUP($D51,'0. Control Panel'!$C$7:$F$16,4,FALSE)*('2. Customer Benefit Input'!$F50+'2. Customer Benefit Input'!J50)*'2. Customer Benefit Input'!$L50)-(VLOOKUP($D51,'0. Control Panel'!$C$7:$F$16,4,FALSE)*('2. Customer Benefit Input'!$F50+'2. Customer Benefit Input'!J50)*'2. Customer Benefit Input'!P50),0)</f>
        <v>0</v>
      </c>
      <c r="N51" s="25"/>
      <c r="O51" s="24">
        <f>'2. Customer Benefit Input'!T50</f>
        <v>0</v>
      </c>
      <c r="P51" s="24">
        <f>'2. Customer Benefit Input'!U50</f>
        <v>0</v>
      </c>
      <c r="Q51" s="24">
        <f>'2. Customer Benefit Input'!V50</f>
        <v>0</v>
      </c>
      <c r="R51" s="25"/>
      <c r="S51" s="24">
        <f t="shared" si="49"/>
        <v>0</v>
      </c>
      <c r="T51" s="24">
        <f t="shared" si="46"/>
        <v>0</v>
      </c>
      <c r="U51" s="24">
        <f t="shared" si="47"/>
        <v>0</v>
      </c>
    </row>
    <row r="52" spans="1:21" x14ac:dyDescent="0.25">
      <c r="A52" s="34" t="str">
        <f t="shared" si="48"/>
        <v>HRC4</v>
      </c>
      <c r="B52" s="34"/>
      <c r="C52" s="6">
        <f>IF(C51="-","-",IF(C51+1&gt;COUNTA('0. Control Panel'!$C$7:$C$16),"-",'2.1 Customer Benefit Output'!C51+1))</f>
        <v>6</v>
      </c>
      <c r="D52" s="16" t="str">
        <f>IF(C52="-","-",INDEX('0. Control Panel'!$B$6:$K$16,MATCH('2.1 Customer Benefit Output'!$C52,'0. Control Panel'!$B$6:$B$16,0),MATCH(D$7,'0. Control Panel'!$B$6:$K$6,0)))</f>
        <v>HR</v>
      </c>
      <c r="E52" s="6"/>
      <c r="G52" s="24">
        <f>IFERROR(-VLOOKUP($D52,'0. Control Panel'!$C$7:$F$16,4,FALSE)*(('2. Customer Benefit Input'!$F51+'2. Customer Benefit Input'!H51)*'2. Customer Benefit Input'!$L51)+(VLOOKUP($D52,'0. Control Panel'!$C$7:$F$16,4,FALSE)*('2. Customer Benefit Input'!$F51*'2. Customer Benefit Input'!$L51)),0)</f>
        <v>0</v>
      </c>
      <c r="H52" s="24">
        <f>IFERROR(-VLOOKUP($D52,'0. Control Panel'!$C$7:$F$16,4,FALSE)*(('2. Customer Benefit Input'!$F51+'2. Customer Benefit Input'!I51)*'2. Customer Benefit Input'!$L51)+(VLOOKUP($D52,'0. Control Panel'!$C$7:$F$16,4,FALSE)*('2. Customer Benefit Input'!$F51*'2. Customer Benefit Input'!$L51)),0)</f>
        <v>0</v>
      </c>
      <c r="I52" s="24">
        <f>IFERROR(-VLOOKUP($D52,'0. Control Panel'!$C$7:$F$16,4,FALSE)*(('2. Customer Benefit Input'!$F51+'2. Customer Benefit Input'!J51)*'2. Customer Benefit Input'!$L51)+(VLOOKUP($D52,'0. Control Panel'!$C$7:$F$16,4,FALSE)*('2. Customer Benefit Input'!$F51*'2. Customer Benefit Input'!$L51)),0)</f>
        <v>0</v>
      </c>
      <c r="K52" s="24">
        <f>IFERROR((VLOOKUP($D52,'0. Control Panel'!$C$7:$F$16,4,FALSE)*('2. Customer Benefit Input'!$F51+'2. Customer Benefit Input'!H51)*'2. Customer Benefit Input'!$L51)-(VLOOKUP($D52,'0. Control Panel'!$C$7:$F$16,4,FALSE)*('2. Customer Benefit Input'!$F51+'2. Customer Benefit Input'!H51)*'2. Customer Benefit Input'!N51),0)</f>
        <v>0</v>
      </c>
      <c r="L52" s="24">
        <f>IFERROR((VLOOKUP($D52,'0. Control Panel'!$C$7:$F$16,4,FALSE)*('2. Customer Benefit Input'!$F51+'2. Customer Benefit Input'!I51)*'2. Customer Benefit Input'!$L51)-(VLOOKUP($D52,'0. Control Panel'!$C$7:$F$16,4,FALSE)*('2. Customer Benefit Input'!$F51+'2. Customer Benefit Input'!I51)*'2. Customer Benefit Input'!O51),0)</f>
        <v>0</v>
      </c>
      <c r="M52" s="24">
        <f>IFERROR((VLOOKUP($D52,'0. Control Panel'!$C$7:$F$16,4,FALSE)*('2. Customer Benefit Input'!$F51+'2. Customer Benefit Input'!J51)*'2. Customer Benefit Input'!$L51)-(VLOOKUP($D52,'0. Control Panel'!$C$7:$F$16,4,FALSE)*('2. Customer Benefit Input'!$F51+'2. Customer Benefit Input'!J51)*'2. Customer Benefit Input'!P51),0)</f>
        <v>0</v>
      </c>
      <c r="N52" s="25"/>
      <c r="O52" s="24">
        <f>'2. Customer Benefit Input'!T51</f>
        <v>0</v>
      </c>
      <c r="P52" s="24">
        <f>'2. Customer Benefit Input'!U51</f>
        <v>0</v>
      </c>
      <c r="Q52" s="24">
        <f>'2. Customer Benefit Input'!V51</f>
        <v>0</v>
      </c>
      <c r="R52" s="25"/>
      <c r="S52" s="24">
        <f t="shared" si="49"/>
        <v>0</v>
      </c>
      <c r="T52" s="24">
        <f t="shared" si="46"/>
        <v>0</v>
      </c>
      <c r="U52" s="24">
        <f t="shared" si="47"/>
        <v>0</v>
      </c>
    </row>
    <row r="53" spans="1:21" x14ac:dyDescent="0.25">
      <c r="A53" s="34" t="str">
        <f t="shared" si="48"/>
        <v>FinanceC4</v>
      </c>
      <c r="B53" s="34"/>
      <c r="C53" s="6">
        <f>IF(C52="-","-",IF(C52+1&gt;COUNTA('0. Control Panel'!$C$7:$C$16),"-",'2.1 Customer Benefit Output'!C52+1))</f>
        <v>7</v>
      </c>
      <c r="D53" s="16" t="str">
        <f>IF(C53="-","-",INDEX('0. Control Panel'!$B$6:$K$16,MATCH('2.1 Customer Benefit Output'!$C53,'0. Control Panel'!$B$6:$B$16,0),MATCH(D$7,'0. Control Panel'!$B$6:$K$6,0)))</f>
        <v>Finance</v>
      </c>
      <c r="E53" s="6"/>
      <c r="G53" s="24">
        <f>IFERROR(-VLOOKUP($D53,'0. Control Panel'!$C$7:$F$16,4,FALSE)*(('2. Customer Benefit Input'!$F52+'2. Customer Benefit Input'!H52)*'2. Customer Benefit Input'!$L52)+(VLOOKUP($D53,'0. Control Panel'!$C$7:$F$16,4,FALSE)*('2. Customer Benefit Input'!$F52*'2. Customer Benefit Input'!$L52)),0)</f>
        <v>0</v>
      </c>
      <c r="H53" s="24">
        <f>IFERROR(-VLOOKUP($D53,'0. Control Panel'!$C$7:$F$16,4,FALSE)*(('2. Customer Benefit Input'!$F52+'2. Customer Benefit Input'!I52)*'2. Customer Benefit Input'!$L52)+(VLOOKUP($D53,'0. Control Panel'!$C$7:$F$16,4,FALSE)*('2. Customer Benefit Input'!$F52*'2. Customer Benefit Input'!$L52)),0)</f>
        <v>0</v>
      </c>
      <c r="I53" s="24">
        <f>IFERROR(-VLOOKUP($D53,'0. Control Panel'!$C$7:$F$16,4,FALSE)*(('2. Customer Benefit Input'!$F52+'2. Customer Benefit Input'!J52)*'2. Customer Benefit Input'!$L52)+(VLOOKUP($D53,'0. Control Panel'!$C$7:$F$16,4,FALSE)*('2. Customer Benefit Input'!$F52*'2. Customer Benefit Input'!$L52)),0)</f>
        <v>0</v>
      </c>
      <c r="K53" s="24">
        <f>IFERROR((VLOOKUP($D53,'0. Control Panel'!$C$7:$F$16,4,FALSE)*('2. Customer Benefit Input'!$F52+'2. Customer Benefit Input'!H52)*'2. Customer Benefit Input'!$L52)-(VLOOKUP($D53,'0. Control Panel'!$C$7:$F$16,4,FALSE)*('2. Customer Benefit Input'!$F52+'2. Customer Benefit Input'!H52)*'2. Customer Benefit Input'!N52),0)</f>
        <v>0</v>
      </c>
      <c r="L53" s="24">
        <f>IFERROR((VLOOKUP($D53,'0. Control Panel'!$C$7:$F$16,4,FALSE)*('2. Customer Benefit Input'!$F52+'2. Customer Benefit Input'!I52)*'2. Customer Benefit Input'!$L52)-(VLOOKUP($D53,'0. Control Panel'!$C$7:$F$16,4,FALSE)*('2. Customer Benefit Input'!$F52+'2. Customer Benefit Input'!I52)*'2. Customer Benefit Input'!O52),0)</f>
        <v>0</v>
      </c>
      <c r="M53" s="24">
        <f>IFERROR((VLOOKUP($D53,'0. Control Panel'!$C$7:$F$16,4,FALSE)*('2. Customer Benefit Input'!$F52+'2. Customer Benefit Input'!J52)*'2. Customer Benefit Input'!$L52)-(VLOOKUP($D53,'0. Control Panel'!$C$7:$F$16,4,FALSE)*('2. Customer Benefit Input'!$F52+'2. Customer Benefit Input'!J52)*'2. Customer Benefit Input'!P52),0)</f>
        <v>0</v>
      </c>
      <c r="N53" s="25"/>
      <c r="O53" s="24">
        <f>'2. Customer Benefit Input'!T52</f>
        <v>0</v>
      </c>
      <c r="P53" s="24">
        <f>'2. Customer Benefit Input'!U52</f>
        <v>0</v>
      </c>
      <c r="Q53" s="24">
        <f>'2. Customer Benefit Input'!V52</f>
        <v>0</v>
      </c>
      <c r="R53" s="25"/>
      <c r="S53" s="24">
        <f t="shared" si="49"/>
        <v>0</v>
      </c>
      <c r="T53" s="24">
        <f t="shared" si="46"/>
        <v>0</v>
      </c>
      <c r="U53" s="24">
        <f t="shared" si="47"/>
        <v>0</v>
      </c>
    </row>
    <row r="54" spans="1:21" x14ac:dyDescent="0.25">
      <c r="A54" s="34" t="str">
        <f t="shared" si="48"/>
        <v>Head OfficeC4</v>
      </c>
      <c r="B54" s="34"/>
      <c r="C54" s="6">
        <f>IF(C53="-","-",IF(C53+1&gt;COUNTA('0. Control Panel'!$C$7:$C$16),"-",'2.1 Customer Benefit Output'!C53+1))</f>
        <v>8</v>
      </c>
      <c r="D54" s="16" t="str">
        <f>IF(C54="-","-",INDEX('0. Control Panel'!$B$6:$K$16,MATCH('2.1 Customer Benefit Output'!$C54,'0. Control Panel'!$B$6:$B$16,0),MATCH(D$7,'0. Control Panel'!$B$6:$K$6,0)))</f>
        <v>Head Office</v>
      </c>
      <c r="E54" s="6"/>
      <c r="G54" s="24">
        <f>IFERROR(-VLOOKUP($D54,'0. Control Panel'!$C$7:$F$16,4,FALSE)*(('2. Customer Benefit Input'!$F53+'2. Customer Benefit Input'!H53)*'2. Customer Benefit Input'!$L53)+(VLOOKUP($D54,'0. Control Panel'!$C$7:$F$16,4,FALSE)*('2. Customer Benefit Input'!$F53*'2. Customer Benefit Input'!$L53)),0)</f>
        <v>0</v>
      </c>
      <c r="H54" s="24">
        <f>IFERROR(-VLOOKUP($D54,'0. Control Panel'!$C$7:$F$16,4,FALSE)*(('2. Customer Benefit Input'!$F53+'2. Customer Benefit Input'!I53)*'2. Customer Benefit Input'!$L53)+(VLOOKUP($D54,'0. Control Panel'!$C$7:$F$16,4,FALSE)*('2. Customer Benefit Input'!$F53*'2. Customer Benefit Input'!$L53)),0)</f>
        <v>0</v>
      </c>
      <c r="I54" s="24">
        <f>IFERROR(-VLOOKUP($D54,'0. Control Panel'!$C$7:$F$16,4,FALSE)*(('2. Customer Benefit Input'!$F53+'2. Customer Benefit Input'!J53)*'2. Customer Benefit Input'!$L53)+(VLOOKUP($D54,'0. Control Panel'!$C$7:$F$16,4,FALSE)*('2. Customer Benefit Input'!$F53*'2. Customer Benefit Input'!$L53)),0)</f>
        <v>0</v>
      </c>
      <c r="K54" s="24">
        <f>IFERROR((VLOOKUP($D54,'0. Control Panel'!$C$7:$F$16,4,FALSE)*('2. Customer Benefit Input'!$F53+'2. Customer Benefit Input'!H53)*'2. Customer Benefit Input'!$L53)-(VLOOKUP($D54,'0. Control Panel'!$C$7:$F$16,4,FALSE)*('2. Customer Benefit Input'!$F53+'2. Customer Benefit Input'!H53)*'2. Customer Benefit Input'!N53),0)</f>
        <v>0</v>
      </c>
      <c r="L54" s="24">
        <f>IFERROR((VLOOKUP($D54,'0. Control Panel'!$C$7:$F$16,4,FALSE)*('2. Customer Benefit Input'!$F53+'2. Customer Benefit Input'!I53)*'2. Customer Benefit Input'!$L53)-(VLOOKUP($D54,'0. Control Panel'!$C$7:$F$16,4,FALSE)*('2. Customer Benefit Input'!$F53+'2. Customer Benefit Input'!I53)*'2. Customer Benefit Input'!O53),0)</f>
        <v>0</v>
      </c>
      <c r="M54" s="24">
        <f>IFERROR((VLOOKUP($D54,'0. Control Panel'!$C$7:$F$16,4,FALSE)*('2. Customer Benefit Input'!$F53+'2. Customer Benefit Input'!J53)*'2. Customer Benefit Input'!$L53)-(VLOOKUP($D54,'0. Control Panel'!$C$7:$F$16,4,FALSE)*('2. Customer Benefit Input'!$F53+'2. Customer Benefit Input'!J53)*'2. Customer Benefit Input'!P53),0)</f>
        <v>0</v>
      </c>
      <c r="N54" s="25"/>
      <c r="O54" s="24">
        <f>'2. Customer Benefit Input'!T53</f>
        <v>0</v>
      </c>
      <c r="P54" s="24">
        <f>'2. Customer Benefit Input'!U53</f>
        <v>0</v>
      </c>
      <c r="Q54" s="24">
        <f>'2. Customer Benefit Input'!V53</f>
        <v>0</v>
      </c>
      <c r="R54" s="25"/>
      <c r="S54" s="24">
        <f t="shared" si="49"/>
        <v>0</v>
      </c>
      <c r="T54" s="24">
        <f t="shared" si="46"/>
        <v>0</v>
      </c>
      <c r="U54" s="24">
        <f t="shared" si="47"/>
        <v>0</v>
      </c>
    </row>
    <row r="55" spans="1:21" x14ac:dyDescent="0.25">
      <c r="A55" s="34" t="str">
        <f t="shared" si="48"/>
        <v>-C4</v>
      </c>
      <c r="B55" s="34"/>
      <c r="C55" s="6" t="str">
        <f>IF(C54="-","-",IF(C54+1&gt;COUNTA('0. Control Panel'!$C$7:$C$16),"-",'2.1 Customer Benefit Output'!C54+1))</f>
        <v>-</v>
      </c>
      <c r="D55" s="16" t="str">
        <f>IF(C55="-","-",INDEX('0. Control Panel'!$B$6:$K$16,MATCH('2.1 Customer Benefit Output'!$C55,'0. Control Panel'!$B$6:$B$16,0),MATCH(D$7,'0. Control Panel'!$B$6:$K$6,0)))</f>
        <v>-</v>
      </c>
      <c r="E55" s="6"/>
      <c r="G55" s="24">
        <f>IFERROR(-VLOOKUP($D55,'0. Control Panel'!$C$7:$F$16,4,FALSE)*(('2. Customer Benefit Input'!$F54+'2. Customer Benefit Input'!H54)*'2. Customer Benefit Input'!$L54)+(VLOOKUP($D55,'0. Control Panel'!$C$7:$F$16,4,FALSE)*('2. Customer Benefit Input'!$F54*'2. Customer Benefit Input'!$L54)),0)</f>
        <v>0</v>
      </c>
      <c r="H55" s="24">
        <f>IFERROR(-VLOOKUP($D55,'0. Control Panel'!$C$7:$F$16,4,FALSE)*(('2. Customer Benefit Input'!$F54+'2. Customer Benefit Input'!I54)*'2. Customer Benefit Input'!$L54)+(VLOOKUP($D55,'0. Control Panel'!$C$7:$F$16,4,FALSE)*('2. Customer Benefit Input'!$F54*'2. Customer Benefit Input'!$L54)),0)</f>
        <v>0</v>
      </c>
      <c r="I55" s="24">
        <f>IFERROR(-VLOOKUP($D55,'0. Control Panel'!$C$7:$F$16,4,FALSE)*(('2. Customer Benefit Input'!$F54+'2. Customer Benefit Input'!J54)*'2. Customer Benefit Input'!$L54)+(VLOOKUP($D55,'0. Control Panel'!$C$7:$F$16,4,FALSE)*('2. Customer Benefit Input'!$F54*'2. Customer Benefit Input'!$L54)),0)</f>
        <v>0</v>
      </c>
      <c r="K55" s="24">
        <f>IFERROR((VLOOKUP($D55,'0. Control Panel'!$C$7:$F$16,4,FALSE)*('2. Customer Benefit Input'!$F54+'2. Customer Benefit Input'!H54)*'2. Customer Benefit Input'!$L54)-(VLOOKUP($D55,'0. Control Panel'!$C$7:$F$16,4,FALSE)*('2. Customer Benefit Input'!$F54+'2. Customer Benefit Input'!H54)*'2. Customer Benefit Input'!N54),0)</f>
        <v>0</v>
      </c>
      <c r="L55" s="24">
        <f>IFERROR((VLOOKUP($D55,'0. Control Panel'!$C$7:$F$16,4,FALSE)*('2. Customer Benefit Input'!$F54+'2. Customer Benefit Input'!I54)*'2. Customer Benefit Input'!$L54)-(VLOOKUP($D55,'0. Control Panel'!$C$7:$F$16,4,FALSE)*('2. Customer Benefit Input'!$F54+'2. Customer Benefit Input'!I54)*'2. Customer Benefit Input'!O54),0)</f>
        <v>0</v>
      </c>
      <c r="M55" s="24">
        <f>IFERROR((VLOOKUP($D55,'0. Control Panel'!$C$7:$F$16,4,FALSE)*('2. Customer Benefit Input'!$F54+'2. Customer Benefit Input'!J54)*'2. Customer Benefit Input'!$L54)-(VLOOKUP($D55,'0. Control Panel'!$C$7:$F$16,4,FALSE)*('2. Customer Benefit Input'!$F54+'2. Customer Benefit Input'!J54)*'2. Customer Benefit Input'!P54),0)</f>
        <v>0</v>
      </c>
      <c r="N55" s="25"/>
      <c r="O55" s="24">
        <f>'2. Customer Benefit Input'!T54</f>
        <v>0</v>
      </c>
      <c r="P55" s="24">
        <f>'2. Customer Benefit Input'!U54</f>
        <v>0</v>
      </c>
      <c r="Q55" s="24">
        <f>'2. Customer Benefit Input'!V54</f>
        <v>0</v>
      </c>
      <c r="R55" s="25"/>
      <c r="S55" s="24">
        <f t="shared" si="49"/>
        <v>0</v>
      </c>
      <c r="T55" s="24">
        <f t="shared" si="46"/>
        <v>0</v>
      </c>
      <c r="U55" s="24">
        <f t="shared" si="47"/>
        <v>0</v>
      </c>
    </row>
    <row r="56" spans="1:21" x14ac:dyDescent="0.25">
      <c r="A56" s="34" t="str">
        <f t="shared" si="48"/>
        <v>-C4</v>
      </c>
      <c r="B56" s="34"/>
      <c r="C56" s="7" t="str">
        <f>IF(C55="-","-",IF(C55+1&gt;COUNTA('0. Control Panel'!$C$7:$C$16),"-",'2.1 Customer Benefit Output'!C55+1))</f>
        <v>-</v>
      </c>
      <c r="D56" s="17" t="str">
        <f>IF(C56="-","-",INDEX('0. Control Panel'!$B$6:$K$16,MATCH('2.1 Customer Benefit Output'!$C56,'0. Control Panel'!$B$6:$B$16,0),MATCH(D$7,'0. Control Panel'!$B$6:$K$6,0)))</f>
        <v>-</v>
      </c>
      <c r="E56" s="7"/>
      <c r="G56" s="24">
        <f>IFERROR(-VLOOKUP($D56,'0. Control Panel'!$C$7:$F$16,4,FALSE)*(('2. Customer Benefit Input'!$F55+'2. Customer Benefit Input'!H55)*'2. Customer Benefit Input'!$L55)+(VLOOKUP($D56,'0. Control Panel'!$C$7:$F$16,4,FALSE)*('2. Customer Benefit Input'!$F55*'2. Customer Benefit Input'!$L55)),0)</f>
        <v>0</v>
      </c>
      <c r="H56" s="24">
        <f>IFERROR(-VLOOKUP($D56,'0. Control Panel'!$C$7:$F$16,4,FALSE)*(('2. Customer Benefit Input'!$F55+'2. Customer Benefit Input'!I55)*'2. Customer Benefit Input'!$L55)+(VLOOKUP($D56,'0. Control Panel'!$C$7:$F$16,4,FALSE)*('2. Customer Benefit Input'!$F55*'2. Customer Benefit Input'!$L55)),0)</f>
        <v>0</v>
      </c>
      <c r="I56" s="24">
        <f>IFERROR(-VLOOKUP($D56,'0. Control Panel'!$C$7:$F$16,4,FALSE)*(('2. Customer Benefit Input'!$F55+'2. Customer Benefit Input'!J55)*'2. Customer Benefit Input'!$L55)+(VLOOKUP($D56,'0. Control Panel'!$C$7:$F$16,4,FALSE)*('2. Customer Benefit Input'!$F55*'2. Customer Benefit Input'!$L55)),0)</f>
        <v>0</v>
      </c>
      <c r="K56" s="24">
        <f>IFERROR((VLOOKUP($D56,'0. Control Panel'!$C$7:$F$16,4,FALSE)*('2. Customer Benefit Input'!$F55+'2. Customer Benefit Input'!H55)*'2. Customer Benefit Input'!$L55)-(VLOOKUP($D56,'0. Control Panel'!$C$7:$F$16,4,FALSE)*('2. Customer Benefit Input'!$F55+'2. Customer Benefit Input'!H55)*'2. Customer Benefit Input'!N55),0)</f>
        <v>0</v>
      </c>
      <c r="L56" s="24">
        <f>IFERROR((VLOOKUP($D56,'0. Control Panel'!$C$7:$F$16,4,FALSE)*('2. Customer Benefit Input'!$F55+'2. Customer Benefit Input'!I55)*'2. Customer Benefit Input'!$L55)-(VLOOKUP($D56,'0. Control Panel'!$C$7:$F$16,4,FALSE)*('2. Customer Benefit Input'!$F55+'2. Customer Benefit Input'!I55)*'2. Customer Benefit Input'!O55),0)</f>
        <v>0</v>
      </c>
      <c r="M56" s="24">
        <f>IFERROR((VLOOKUP($D56,'0. Control Panel'!$C$7:$F$16,4,FALSE)*('2. Customer Benefit Input'!$F55+'2. Customer Benefit Input'!J55)*'2. Customer Benefit Input'!$L55)-(VLOOKUP($D56,'0. Control Panel'!$C$7:$F$16,4,FALSE)*('2. Customer Benefit Input'!$F55+'2. Customer Benefit Input'!J55)*'2. Customer Benefit Input'!P55),0)</f>
        <v>0</v>
      </c>
      <c r="N56" s="25"/>
      <c r="O56" s="24">
        <f>'2. Customer Benefit Input'!T55</f>
        <v>0</v>
      </c>
      <c r="P56" s="24">
        <f>'2. Customer Benefit Input'!U55</f>
        <v>0</v>
      </c>
      <c r="Q56" s="24">
        <f>'2. Customer Benefit Input'!V55</f>
        <v>0</v>
      </c>
      <c r="R56" s="25"/>
      <c r="S56" s="24">
        <f t="shared" si="49"/>
        <v>0</v>
      </c>
      <c r="T56" s="24">
        <f t="shared" si="46"/>
        <v>0</v>
      </c>
      <c r="U56" s="24">
        <f t="shared" si="47"/>
        <v>0</v>
      </c>
    </row>
    <row r="57" spans="1:21" ht="16.5" thickBot="1" x14ac:dyDescent="0.3">
      <c r="A57" s="34" t="str">
        <f>D57&amp;$C$46</f>
        <v>All Departments/FunctionsC4</v>
      </c>
      <c r="B57" s="34"/>
      <c r="C57" s="23"/>
      <c r="D57" s="27" t="str">
        <f>D44</f>
        <v>All Departments/Functions</v>
      </c>
      <c r="E57" s="23"/>
      <c r="F57" s="23"/>
      <c r="G57" s="28">
        <f>SUM(G47:G56)</f>
        <v>0</v>
      </c>
      <c r="H57" s="28">
        <f t="shared" ref="H57" si="50">SUM(H47:H56)</f>
        <v>436100</v>
      </c>
      <c r="I57" s="28">
        <f t="shared" ref="I57" si="51">SUM(I47:I56)</f>
        <v>1084300</v>
      </c>
      <c r="J57" s="23"/>
      <c r="K57" s="28">
        <f>SUM(K47:K56)</f>
        <v>0</v>
      </c>
      <c r="L57" s="28">
        <f t="shared" ref="L57" si="52">SUM(L47:L56)</f>
        <v>0</v>
      </c>
      <c r="M57" s="28">
        <f t="shared" ref="M57" si="53">SUM(M47:M56)</f>
        <v>0</v>
      </c>
      <c r="N57" s="29"/>
      <c r="O57" s="28">
        <f t="shared" ref="O57" si="54">SUM(O47:O56)</f>
        <v>450000</v>
      </c>
      <c r="P57" s="28">
        <f t="shared" ref="P57" si="55">SUM(P47:P56)</f>
        <v>450000</v>
      </c>
      <c r="Q57" s="28">
        <f t="shared" ref="Q57" si="56">SUM(Q47:Q56)</f>
        <v>450000</v>
      </c>
      <c r="R57" s="29"/>
      <c r="S57" s="28">
        <f t="shared" ref="S57" si="57">SUM(S47:S56)</f>
        <v>450000</v>
      </c>
      <c r="T57" s="28">
        <f t="shared" ref="T57" si="58">SUM(T47:T56)</f>
        <v>886100</v>
      </c>
      <c r="U57" s="28">
        <f t="shared" ref="U57" si="59">SUM(U47:U56)</f>
        <v>1534300</v>
      </c>
    </row>
    <row r="58" spans="1:21" ht="16.5" thickTop="1" x14ac:dyDescent="0.25">
      <c r="A58" s="34"/>
      <c r="B58" s="34"/>
      <c r="C58" s="4"/>
      <c r="D58" s="4"/>
      <c r="E58" s="4"/>
      <c r="F58"/>
      <c r="G58" s="26"/>
      <c r="H58" s="26"/>
      <c r="I58" s="26"/>
      <c r="J58"/>
      <c r="K58" s="26"/>
      <c r="L58" s="26"/>
      <c r="M58" s="26"/>
      <c r="N58" s="26"/>
      <c r="O58" s="26"/>
      <c r="P58" s="26"/>
      <c r="Q58" s="26"/>
      <c r="R58" s="26"/>
      <c r="S58" s="26"/>
      <c r="T58" s="26"/>
      <c r="U58" s="26"/>
    </row>
    <row r="59" spans="1:21" ht="15.95" customHeight="1" x14ac:dyDescent="0.25">
      <c r="A59" s="34"/>
      <c r="B59" s="34"/>
      <c r="C59" s="12" t="s">
        <v>16</v>
      </c>
      <c r="D59" s="30" t="str">
        <f>IF(INDEX('0. Control Panel'!$B$19:$C$29,MATCH('2.1 Customer Benefit Output'!$C59,'0. Control Panel'!$B$19:$B$29,0),2)="","n/a",INDEX('0. Control Panel'!$B$19:$C$29,MATCH('2.1 Customer Benefit Output'!$C59,'0. Control Panel'!$B$19:$B$29,0),2))</f>
        <v>Improved Marketing Response Rate</v>
      </c>
      <c r="F59"/>
      <c r="G59" s="26"/>
      <c r="H59" s="26"/>
      <c r="I59" s="26"/>
      <c r="J59"/>
      <c r="K59" s="26"/>
      <c r="L59" s="26"/>
      <c r="M59" s="26"/>
      <c r="N59" s="26"/>
      <c r="O59" s="26"/>
      <c r="P59" s="26"/>
      <c r="Q59" s="26"/>
      <c r="R59" s="26"/>
      <c r="S59" s="26"/>
      <c r="T59" s="26"/>
      <c r="U59" s="26"/>
    </row>
    <row r="60" spans="1:21" x14ac:dyDescent="0.25">
      <c r="A60" s="34" t="str">
        <f>D60&amp;$C$59</f>
        <v>ITC5</v>
      </c>
      <c r="B60" s="34"/>
      <c r="C60" s="5">
        <v>1</v>
      </c>
      <c r="D60" s="15" t="str">
        <f>IF(C60="-","-",INDEX('0. Control Panel'!$B$6:$K$16,MATCH('2.1 Customer Benefit Output'!$C60,'0. Control Panel'!$B$6:$B$16,0),MATCH(D$7,'0. Control Panel'!$B$6:$K$6,0)))</f>
        <v>IT</v>
      </c>
      <c r="E60" s="5"/>
      <c r="G60" s="24">
        <f>IFERROR(-VLOOKUP($D60,'0. Control Panel'!$C$7:$F$16,4,FALSE)*(('2. Customer Benefit Input'!$F59+'2. Customer Benefit Input'!H59)*'2. Customer Benefit Input'!$L59)+(VLOOKUP($D60,'0. Control Panel'!$C$7:$F$16,4,FALSE)*('2. Customer Benefit Input'!$F59*'2. Customer Benefit Input'!$L59)),0)</f>
        <v>0</v>
      </c>
      <c r="H60" s="24">
        <f>IFERROR(-VLOOKUP($D60,'0. Control Panel'!$C$7:$F$16,4,FALSE)*(('2. Customer Benefit Input'!$F59+'2. Customer Benefit Input'!I59)*'2. Customer Benefit Input'!$L59)+(VLOOKUP($D60,'0. Control Panel'!$C$7:$F$16,4,FALSE)*('2. Customer Benefit Input'!$F59*'2. Customer Benefit Input'!$L59)),0)</f>
        <v>0</v>
      </c>
      <c r="I60" s="24">
        <f>IFERROR(-VLOOKUP($D60,'0. Control Panel'!$C$7:$F$16,4,FALSE)*(('2. Customer Benefit Input'!$F59+'2. Customer Benefit Input'!J59)*'2. Customer Benefit Input'!$L59)+(VLOOKUP($D60,'0. Control Panel'!$C$7:$F$16,4,FALSE)*('2. Customer Benefit Input'!$F59*'2. Customer Benefit Input'!$L59)),0)</f>
        <v>0</v>
      </c>
      <c r="K60" s="24">
        <f>IFERROR((VLOOKUP($D60,'0. Control Panel'!$C$7:$F$16,4,FALSE)*('2. Customer Benefit Input'!$F59+'2. Customer Benefit Input'!H59)*'2. Customer Benefit Input'!$L59)-(VLOOKUP($D60,'0. Control Panel'!$C$7:$F$16,4,FALSE)*('2. Customer Benefit Input'!$F59+'2. Customer Benefit Input'!H59)*'2. Customer Benefit Input'!N59),0)</f>
        <v>0</v>
      </c>
      <c r="L60" s="24">
        <f>IFERROR((VLOOKUP($D60,'0. Control Panel'!$C$7:$F$16,4,FALSE)*('2. Customer Benefit Input'!$F59+'2. Customer Benefit Input'!I59)*'2. Customer Benefit Input'!$L59)-(VLOOKUP($D60,'0. Control Panel'!$C$7:$F$16,4,FALSE)*('2. Customer Benefit Input'!$F59+'2. Customer Benefit Input'!I59)*'2. Customer Benefit Input'!O59),0)</f>
        <v>0</v>
      </c>
      <c r="M60" s="24">
        <f>IFERROR((VLOOKUP($D60,'0. Control Panel'!$C$7:$F$16,4,FALSE)*('2. Customer Benefit Input'!$F59+'2. Customer Benefit Input'!J59)*'2. Customer Benefit Input'!$L59)-(VLOOKUP($D60,'0. Control Panel'!$C$7:$F$16,4,FALSE)*('2. Customer Benefit Input'!$F59+'2. Customer Benefit Input'!J59)*'2. Customer Benefit Input'!P59),0)</f>
        <v>0</v>
      </c>
      <c r="N60" s="25"/>
      <c r="O60" s="24">
        <f>'2. Customer Benefit Input'!T59</f>
        <v>0</v>
      </c>
      <c r="P60" s="24">
        <f>'2. Customer Benefit Input'!U59</f>
        <v>0</v>
      </c>
      <c r="Q60" s="24">
        <f>'2. Customer Benefit Input'!V59</f>
        <v>0</v>
      </c>
      <c r="R60" s="25"/>
      <c r="S60" s="24">
        <f>SUM(G60,K60,O60)</f>
        <v>0</v>
      </c>
      <c r="T60" s="24">
        <f t="shared" ref="T60:T69" si="60">SUM(H60,L60,P60)</f>
        <v>0</v>
      </c>
      <c r="U60" s="24">
        <f t="shared" ref="U60:U69" si="61">SUM(I60,M60,Q60)</f>
        <v>0</v>
      </c>
    </row>
    <row r="61" spans="1:21" x14ac:dyDescent="0.25">
      <c r="A61" s="34" t="str">
        <f t="shared" ref="A61:A69" si="62">D61&amp;$C$59</f>
        <v>SalesC5</v>
      </c>
      <c r="B61" s="34"/>
      <c r="C61" s="6">
        <f>IF(C60="-","-",IF(C60+1&gt;COUNTA('0. Control Panel'!$C$7:$C$16),"-",'2.1 Customer Benefit Output'!C60+1))</f>
        <v>2</v>
      </c>
      <c r="D61" s="16" t="str">
        <f>IF(C61="-","-",INDEX('0. Control Panel'!$B$6:$K$16,MATCH('2.1 Customer Benefit Output'!$C61,'0. Control Panel'!$B$6:$B$16,0),MATCH(D$7,'0. Control Panel'!$B$6:$K$6,0)))</f>
        <v>Sales</v>
      </c>
      <c r="E61" s="6"/>
      <c r="G61" s="24">
        <f>IFERROR(-VLOOKUP($D61,'0. Control Panel'!$C$7:$F$16,4,FALSE)*(('2. Customer Benefit Input'!$F60+'2. Customer Benefit Input'!H60)*'2. Customer Benefit Input'!$L60)+(VLOOKUP($D61,'0. Control Panel'!$C$7:$F$16,4,FALSE)*('2. Customer Benefit Input'!$F60*'2. Customer Benefit Input'!$L60)),0)</f>
        <v>80000</v>
      </c>
      <c r="H61" s="24">
        <f>IFERROR(-VLOOKUP($D61,'0. Control Panel'!$C$7:$F$16,4,FALSE)*(('2. Customer Benefit Input'!$F60+'2. Customer Benefit Input'!I60)*'2. Customer Benefit Input'!$L60)+(VLOOKUP($D61,'0. Control Panel'!$C$7:$F$16,4,FALSE)*('2. Customer Benefit Input'!$F60*'2. Customer Benefit Input'!$L60)),0)</f>
        <v>240000</v>
      </c>
      <c r="I61" s="24">
        <f>IFERROR(-VLOOKUP($D61,'0. Control Panel'!$C$7:$F$16,4,FALSE)*(('2. Customer Benefit Input'!$F60+'2. Customer Benefit Input'!J60)*'2. Customer Benefit Input'!$L60)+(VLOOKUP($D61,'0. Control Panel'!$C$7:$F$16,4,FALSE)*('2. Customer Benefit Input'!$F60*'2. Customer Benefit Input'!$L60)),0)</f>
        <v>440000</v>
      </c>
      <c r="K61" s="24">
        <f>IFERROR((VLOOKUP($D61,'0. Control Panel'!$C$7:$F$16,4,FALSE)*('2. Customer Benefit Input'!$F60+'2. Customer Benefit Input'!H60)*'2. Customer Benefit Input'!$L60)-(VLOOKUP($D61,'0. Control Panel'!$C$7:$F$16,4,FALSE)*('2. Customer Benefit Input'!$F60+'2. Customer Benefit Input'!H60)*'2. Customer Benefit Input'!N60),0)</f>
        <v>0</v>
      </c>
      <c r="L61" s="24">
        <f>IFERROR((VLOOKUP($D61,'0. Control Panel'!$C$7:$F$16,4,FALSE)*('2. Customer Benefit Input'!$F60+'2. Customer Benefit Input'!I60)*'2. Customer Benefit Input'!$L60)-(VLOOKUP($D61,'0. Control Panel'!$C$7:$F$16,4,FALSE)*('2. Customer Benefit Input'!$F60+'2. Customer Benefit Input'!I60)*'2. Customer Benefit Input'!O60),0)</f>
        <v>286800</v>
      </c>
      <c r="M61" s="24">
        <f>IFERROR((VLOOKUP($D61,'0. Control Panel'!$C$7:$F$16,4,FALSE)*('2. Customer Benefit Input'!$F60+'2. Customer Benefit Input'!J60)*'2. Customer Benefit Input'!$L60)-(VLOOKUP($D61,'0. Control Panel'!$C$7:$F$16,4,FALSE)*('2. Customer Benefit Input'!$F60+'2. Customer Benefit Input'!J60)*'2. Customer Benefit Input'!P60),0)</f>
        <v>493600</v>
      </c>
      <c r="N61" s="25"/>
      <c r="O61" s="24">
        <f>'2. Customer Benefit Input'!T60</f>
        <v>150000</v>
      </c>
      <c r="P61" s="24">
        <f>'2. Customer Benefit Input'!U60</f>
        <v>150000</v>
      </c>
      <c r="Q61" s="24">
        <f>'2. Customer Benefit Input'!V60</f>
        <v>150000</v>
      </c>
      <c r="R61" s="25"/>
      <c r="S61" s="24">
        <f t="shared" ref="S61:S69" si="63">SUM(G61,K61,O61)</f>
        <v>230000</v>
      </c>
      <c r="T61" s="24">
        <f t="shared" si="60"/>
        <v>676800</v>
      </c>
      <c r="U61" s="24">
        <f t="shared" si="61"/>
        <v>1083600</v>
      </c>
    </row>
    <row r="62" spans="1:21" x14ac:dyDescent="0.25">
      <c r="A62" s="34" t="str">
        <f t="shared" si="62"/>
        <v>Product AC5</v>
      </c>
      <c r="B62" s="34"/>
      <c r="C62" s="6">
        <f>IF(C61="-","-",IF(C61+1&gt;COUNTA('0. Control Panel'!$C$7:$C$16),"-",'2.1 Customer Benefit Output'!C61+1))</f>
        <v>3</v>
      </c>
      <c r="D62" s="16" t="str">
        <f>IF(C62="-","-",INDEX('0. Control Panel'!$B$6:$K$16,MATCH('2.1 Customer Benefit Output'!$C62,'0. Control Panel'!$B$6:$B$16,0),MATCH(D$7,'0. Control Panel'!$B$6:$K$6,0)))</f>
        <v>Product A</v>
      </c>
      <c r="E62" s="6"/>
      <c r="G62" s="24">
        <f>IFERROR(-VLOOKUP($D62,'0. Control Panel'!$C$7:$F$16,4,FALSE)*(('2. Customer Benefit Input'!$F61+'2. Customer Benefit Input'!H61)*'2. Customer Benefit Input'!$L61)+(VLOOKUP($D62,'0. Control Panel'!$C$7:$F$16,4,FALSE)*('2. Customer Benefit Input'!$F61*'2. Customer Benefit Input'!$L61)),0)</f>
        <v>0</v>
      </c>
      <c r="H62" s="24">
        <f>IFERROR(-VLOOKUP($D62,'0. Control Panel'!$C$7:$F$16,4,FALSE)*(('2. Customer Benefit Input'!$F61+'2. Customer Benefit Input'!I61)*'2. Customer Benefit Input'!$L61)+(VLOOKUP($D62,'0. Control Panel'!$C$7:$F$16,4,FALSE)*('2. Customer Benefit Input'!$F61*'2. Customer Benefit Input'!$L61)),0)</f>
        <v>0</v>
      </c>
      <c r="I62" s="24">
        <f>IFERROR(-VLOOKUP($D62,'0. Control Panel'!$C$7:$F$16,4,FALSE)*(('2. Customer Benefit Input'!$F61+'2. Customer Benefit Input'!J61)*'2. Customer Benefit Input'!$L61)+(VLOOKUP($D62,'0. Control Panel'!$C$7:$F$16,4,FALSE)*('2. Customer Benefit Input'!$F61*'2. Customer Benefit Input'!$L61)),0)</f>
        <v>0</v>
      </c>
      <c r="K62" s="24">
        <f>IFERROR((VLOOKUP($D62,'0. Control Panel'!$C$7:$F$16,4,FALSE)*('2. Customer Benefit Input'!$F61+'2. Customer Benefit Input'!H61)*'2. Customer Benefit Input'!$L61)-(VLOOKUP($D62,'0. Control Panel'!$C$7:$F$16,4,FALSE)*('2. Customer Benefit Input'!$F61+'2. Customer Benefit Input'!H61)*'2. Customer Benefit Input'!N61),0)</f>
        <v>0</v>
      </c>
      <c r="L62" s="24">
        <f>IFERROR((VLOOKUP($D62,'0. Control Panel'!$C$7:$F$16,4,FALSE)*('2. Customer Benefit Input'!$F61+'2. Customer Benefit Input'!I61)*'2. Customer Benefit Input'!$L61)-(VLOOKUP($D62,'0. Control Panel'!$C$7:$F$16,4,FALSE)*('2. Customer Benefit Input'!$F61+'2. Customer Benefit Input'!I61)*'2. Customer Benefit Input'!O61),0)</f>
        <v>0</v>
      </c>
      <c r="M62" s="24">
        <f>IFERROR((VLOOKUP($D62,'0. Control Panel'!$C$7:$F$16,4,FALSE)*('2. Customer Benefit Input'!$F61+'2. Customer Benefit Input'!J61)*'2. Customer Benefit Input'!$L61)-(VLOOKUP($D62,'0. Control Panel'!$C$7:$F$16,4,FALSE)*('2. Customer Benefit Input'!$F61+'2. Customer Benefit Input'!J61)*'2. Customer Benefit Input'!P61),0)</f>
        <v>0</v>
      </c>
      <c r="N62" s="25"/>
      <c r="O62" s="24">
        <f>'2. Customer Benefit Input'!T61</f>
        <v>0</v>
      </c>
      <c r="P62" s="24">
        <f>'2. Customer Benefit Input'!U61</f>
        <v>0</v>
      </c>
      <c r="Q62" s="24">
        <f>'2. Customer Benefit Input'!V61</f>
        <v>0</v>
      </c>
      <c r="R62" s="25"/>
      <c r="S62" s="24">
        <f t="shared" si="63"/>
        <v>0</v>
      </c>
      <c r="T62" s="24">
        <f t="shared" si="60"/>
        <v>0</v>
      </c>
      <c r="U62" s="24">
        <f t="shared" si="61"/>
        <v>0</v>
      </c>
    </row>
    <row r="63" spans="1:21" x14ac:dyDescent="0.25">
      <c r="A63" s="34" t="str">
        <f t="shared" si="62"/>
        <v>Product BC5</v>
      </c>
      <c r="B63" s="34"/>
      <c r="C63" s="6">
        <f>IF(C62="-","-",IF(C62+1&gt;COUNTA('0. Control Panel'!$C$7:$C$16),"-",'2.1 Customer Benefit Output'!C62+1))</f>
        <v>4</v>
      </c>
      <c r="D63" s="16" t="str">
        <f>IF(C63="-","-",INDEX('0. Control Panel'!$B$6:$K$16,MATCH('2.1 Customer Benefit Output'!$C63,'0. Control Panel'!$B$6:$B$16,0),MATCH(D$7,'0. Control Panel'!$B$6:$K$6,0)))</f>
        <v>Product B</v>
      </c>
      <c r="E63" s="6"/>
      <c r="G63" s="24">
        <f>IFERROR(-VLOOKUP($D63,'0. Control Panel'!$C$7:$F$16,4,FALSE)*(('2. Customer Benefit Input'!$F62+'2. Customer Benefit Input'!H62)*'2. Customer Benefit Input'!$L62)+(VLOOKUP($D63,'0. Control Panel'!$C$7:$F$16,4,FALSE)*('2. Customer Benefit Input'!$F62*'2. Customer Benefit Input'!$L62)),0)</f>
        <v>0</v>
      </c>
      <c r="H63" s="24">
        <f>IFERROR(-VLOOKUP($D63,'0. Control Panel'!$C$7:$F$16,4,FALSE)*(('2. Customer Benefit Input'!$F62+'2. Customer Benefit Input'!I62)*'2. Customer Benefit Input'!$L62)+(VLOOKUP($D63,'0. Control Panel'!$C$7:$F$16,4,FALSE)*('2. Customer Benefit Input'!$F62*'2. Customer Benefit Input'!$L62)),0)</f>
        <v>0</v>
      </c>
      <c r="I63" s="24">
        <f>IFERROR(-VLOOKUP($D63,'0. Control Panel'!$C$7:$F$16,4,FALSE)*(('2. Customer Benefit Input'!$F62+'2. Customer Benefit Input'!J62)*'2. Customer Benefit Input'!$L62)+(VLOOKUP($D63,'0. Control Panel'!$C$7:$F$16,4,FALSE)*('2. Customer Benefit Input'!$F62*'2. Customer Benefit Input'!$L62)),0)</f>
        <v>0</v>
      </c>
      <c r="K63" s="24">
        <f>IFERROR((VLOOKUP($D63,'0. Control Panel'!$C$7:$F$16,4,FALSE)*('2. Customer Benefit Input'!$F62+'2. Customer Benefit Input'!H62)*'2. Customer Benefit Input'!$L62)-(VLOOKUP($D63,'0. Control Panel'!$C$7:$F$16,4,FALSE)*('2. Customer Benefit Input'!$F62+'2. Customer Benefit Input'!H62)*'2. Customer Benefit Input'!N62),0)</f>
        <v>0</v>
      </c>
      <c r="L63" s="24">
        <f>IFERROR((VLOOKUP($D63,'0. Control Panel'!$C$7:$F$16,4,FALSE)*('2. Customer Benefit Input'!$F62+'2. Customer Benefit Input'!I62)*'2. Customer Benefit Input'!$L62)-(VLOOKUP($D63,'0. Control Panel'!$C$7:$F$16,4,FALSE)*('2. Customer Benefit Input'!$F62+'2. Customer Benefit Input'!I62)*'2. Customer Benefit Input'!O62),0)</f>
        <v>0</v>
      </c>
      <c r="M63" s="24">
        <f>IFERROR((VLOOKUP($D63,'0. Control Panel'!$C$7:$F$16,4,FALSE)*('2. Customer Benefit Input'!$F62+'2. Customer Benefit Input'!J62)*'2. Customer Benefit Input'!$L62)-(VLOOKUP($D63,'0. Control Panel'!$C$7:$F$16,4,FALSE)*('2. Customer Benefit Input'!$F62+'2. Customer Benefit Input'!J62)*'2. Customer Benefit Input'!P62),0)</f>
        <v>0</v>
      </c>
      <c r="N63" s="25"/>
      <c r="O63" s="24">
        <f>'2. Customer Benefit Input'!T62</f>
        <v>0</v>
      </c>
      <c r="P63" s="24">
        <f>'2. Customer Benefit Input'!U62</f>
        <v>0</v>
      </c>
      <c r="Q63" s="24">
        <f>'2. Customer Benefit Input'!V62</f>
        <v>0</v>
      </c>
      <c r="R63" s="25"/>
      <c r="S63" s="24">
        <f t="shared" si="63"/>
        <v>0</v>
      </c>
      <c r="T63" s="24">
        <f t="shared" si="60"/>
        <v>0</v>
      </c>
      <c r="U63" s="24">
        <f t="shared" si="61"/>
        <v>0</v>
      </c>
    </row>
    <row r="64" spans="1:21" x14ac:dyDescent="0.25">
      <c r="A64" s="34" t="str">
        <f t="shared" si="62"/>
        <v>R&amp;DC5</v>
      </c>
      <c r="B64" s="34"/>
      <c r="C64" s="6">
        <f>IF(C63="-","-",IF(C63+1&gt;COUNTA('0. Control Panel'!$C$7:$C$16),"-",'2.1 Customer Benefit Output'!C63+1))</f>
        <v>5</v>
      </c>
      <c r="D64" s="16" t="str">
        <f>IF(C64="-","-",INDEX('0. Control Panel'!$B$6:$K$16,MATCH('2.1 Customer Benefit Output'!$C64,'0. Control Panel'!$B$6:$B$16,0),MATCH(D$7,'0. Control Panel'!$B$6:$K$6,0)))</f>
        <v>R&amp;D</v>
      </c>
      <c r="E64" s="6"/>
      <c r="G64" s="24">
        <f>IFERROR(-VLOOKUP($D64,'0. Control Panel'!$C$7:$F$16,4,FALSE)*(('2. Customer Benefit Input'!$F63+'2. Customer Benefit Input'!H63)*'2. Customer Benefit Input'!$L63)+(VLOOKUP($D64,'0. Control Panel'!$C$7:$F$16,4,FALSE)*('2. Customer Benefit Input'!$F63*'2. Customer Benefit Input'!$L63)),0)</f>
        <v>0</v>
      </c>
      <c r="H64" s="24">
        <f>IFERROR(-VLOOKUP($D64,'0. Control Panel'!$C$7:$F$16,4,FALSE)*(('2. Customer Benefit Input'!$F63+'2. Customer Benefit Input'!I63)*'2. Customer Benefit Input'!$L63)+(VLOOKUP($D64,'0. Control Panel'!$C$7:$F$16,4,FALSE)*('2. Customer Benefit Input'!$F63*'2. Customer Benefit Input'!$L63)),0)</f>
        <v>0</v>
      </c>
      <c r="I64" s="24">
        <f>IFERROR(-VLOOKUP($D64,'0. Control Panel'!$C$7:$F$16,4,FALSE)*(('2. Customer Benefit Input'!$F63+'2. Customer Benefit Input'!J63)*'2. Customer Benefit Input'!$L63)+(VLOOKUP($D64,'0. Control Panel'!$C$7:$F$16,4,FALSE)*('2. Customer Benefit Input'!$F63*'2. Customer Benefit Input'!$L63)),0)</f>
        <v>0</v>
      </c>
      <c r="K64" s="24">
        <f>IFERROR((VLOOKUP($D64,'0. Control Panel'!$C$7:$F$16,4,FALSE)*('2. Customer Benefit Input'!$F63+'2. Customer Benefit Input'!H63)*'2. Customer Benefit Input'!$L63)-(VLOOKUP($D64,'0. Control Panel'!$C$7:$F$16,4,FALSE)*('2. Customer Benefit Input'!$F63+'2. Customer Benefit Input'!H63)*'2. Customer Benefit Input'!N63),0)</f>
        <v>0</v>
      </c>
      <c r="L64" s="24">
        <f>IFERROR((VLOOKUP($D64,'0. Control Panel'!$C$7:$F$16,4,FALSE)*('2. Customer Benefit Input'!$F63+'2. Customer Benefit Input'!I63)*'2. Customer Benefit Input'!$L63)-(VLOOKUP($D64,'0. Control Panel'!$C$7:$F$16,4,FALSE)*('2. Customer Benefit Input'!$F63+'2. Customer Benefit Input'!I63)*'2. Customer Benefit Input'!O63),0)</f>
        <v>0</v>
      </c>
      <c r="M64" s="24">
        <f>IFERROR((VLOOKUP($D64,'0. Control Panel'!$C$7:$F$16,4,FALSE)*('2. Customer Benefit Input'!$F63+'2. Customer Benefit Input'!J63)*'2. Customer Benefit Input'!$L63)-(VLOOKUP($D64,'0. Control Panel'!$C$7:$F$16,4,FALSE)*('2. Customer Benefit Input'!$F63+'2. Customer Benefit Input'!J63)*'2. Customer Benefit Input'!P63),0)</f>
        <v>0</v>
      </c>
      <c r="N64" s="25"/>
      <c r="O64" s="24">
        <f>'2. Customer Benefit Input'!T63</f>
        <v>0</v>
      </c>
      <c r="P64" s="24">
        <f>'2. Customer Benefit Input'!U63</f>
        <v>0</v>
      </c>
      <c r="Q64" s="24">
        <f>'2. Customer Benefit Input'!V63</f>
        <v>0</v>
      </c>
      <c r="R64" s="25"/>
      <c r="S64" s="24">
        <f t="shared" si="63"/>
        <v>0</v>
      </c>
      <c r="T64" s="24">
        <f t="shared" si="60"/>
        <v>0</v>
      </c>
      <c r="U64" s="24">
        <f t="shared" si="61"/>
        <v>0</v>
      </c>
    </row>
    <row r="65" spans="1:21" x14ac:dyDescent="0.25">
      <c r="A65" s="34" t="str">
        <f t="shared" si="62"/>
        <v>HRC5</v>
      </c>
      <c r="B65" s="34"/>
      <c r="C65" s="6">
        <f>IF(C64="-","-",IF(C64+1&gt;COUNTA('0. Control Panel'!$C$7:$C$16),"-",'2.1 Customer Benefit Output'!C64+1))</f>
        <v>6</v>
      </c>
      <c r="D65" s="16" t="str">
        <f>IF(C65="-","-",INDEX('0. Control Panel'!$B$6:$K$16,MATCH('2.1 Customer Benefit Output'!$C65,'0. Control Panel'!$B$6:$B$16,0),MATCH(D$7,'0. Control Panel'!$B$6:$K$6,0)))</f>
        <v>HR</v>
      </c>
      <c r="E65" s="6"/>
      <c r="G65" s="24">
        <f>IFERROR(-VLOOKUP($D65,'0. Control Panel'!$C$7:$F$16,4,FALSE)*(('2. Customer Benefit Input'!$F64+'2. Customer Benefit Input'!H64)*'2. Customer Benefit Input'!$L64)+(VLOOKUP($D65,'0. Control Panel'!$C$7:$F$16,4,FALSE)*('2. Customer Benefit Input'!$F64*'2. Customer Benefit Input'!$L64)),0)</f>
        <v>0</v>
      </c>
      <c r="H65" s="24">
        <f>IFERROR(-VLOOKUP($D65,'0. Control Panel'!$C$7:$F$16,4,FALSE)*(('2. Customer Benefit Input'!$F64+'2. Customer Benefit Input'!I64)*'2. Customer Benefit Input'!$L64)+(VLOOKUP($D65,'0. Control Panel'!$C$7:$F$16,4,FALSE)*('2. Customer Benefit Input'!$F64*'2. Customer Benefit Input'!$L64)),0)</f>
        <v>0</v>
      </c>
      <c r="I65" s="24">
        <f>IFERROR(-VLOOKUP($D65,'0. Control Panel'!$C$7:$F$16,4,FALSE)*(('2. Customer Benefit Input'!$F64+'2. Customer Benefit Input'!J64)*'2. Customer Benefit Input'!$L64)+(VLOOKUP($D65,'0. Control Panel'!$C$7:$F$16,4,FALSE)*('2. Customer Benefit Input'!$F64*'2. Customer Benefit Input'!$L64)),0)</f>
        <v>0</v>
      </c>
      <c r="K65" s="24">
        <f>IFERROR((VLOOKUP($D65,'0. Control Panel'!$C$7:$F$16,4,FALSE)*('2. Customer Benefit Input'!$F64+'2. Customer Benefit Input'!H64)*'2. Customer Benefit Input'!$L64)-(VLOOKUP($D65,'0. Control Panel'!$C$7:$F$16,4,FALSE)*('2. Customer Benefit Input'!$F64+'2. Customer Benefit Input'!H64)*'2. Customer Benefit Input'!N64),0)</f>
        <v>0</v>
      </c>
      <c r="L65" s="24">
        <f>IFERROR((VLOOKUP($D65,'0. Control Panel'!$C$7:$F$16,4,FALSE)*('2. Customer Benefit Input'!$F64+'2. Customer Benefit Input'!I64)*'2. Customer Benefit Input'!$L64)-(VLOOKUP($D65,'0. Control Panel'!$C$7:$F$16,4,FALSE)*('2. Customer Benefit Input'!$F64+'2. Customer Benefit Input'!I64)*'2. Customer Benefit Input'!O64),0)</f>
        <v>0</v>
      </c>
      <c r="M65" s="24">
        <f>IFERROR((VLOOKUP($D65,'0. Control Panel'!$C$7:$F$16,4,FALSE)*('2. Customer Benefit Input'!$F64+'2. Customer Benefit Input'!J64)*'2. Customer Benefit Input'!$L64)-(VLOOKUP($D65,'0. Control Panel'!$C$7:$F$16,4,FALSE)*('2. Customer Benefit Input'!$F64+'2. Customer Benefit Input'!J64)*'2. Customer Benefit Input'!P64),0)</f>
        <v>0</v>
      </c>
      <c r="N65" s="25"/>
      <c r="O65" s="24">
        <f>'2. Customer Benefit Input'!T64</f>
        <v>0</v>
      </c>
      <c r="P65" s="24">
        <f>'2. Customer Benefit Input'!U64</f>
        <v>0</v>
      </c>
      <c r="Q65" s="24">
        <f>'2. Customer Benefit Input'!V64</f>
        <v>0</v>
      </c>
      <c r="R65" s="25"/>
      <c r="S65" s="24">
        <f t="shared" si="63"/>
        <v>0</v>
      </c>
      <c r="T65" s="24">
        <f t="shared" si="60"/>
        <v>0</v>
      </c>
      <c r="U65" s="24">
        <f t="shared" si="61"/>
        <v>0</v>
      </c>
    </row>
    <row r="66" spans="1:21" x14ac:dyDescent="0.25">
      <c r="A66" s="34" t="str">
        <f t="shared" si="62"/>
        <v>FinanceC5</v>
      </c>
      <c r="B66" s="34"/>
      <c r="C66" s="6">
        <f>IF(C65="-","-",IF(C65+1&gt;COUNTA('0. Control Panel'!$C$7:$C$16),"-",'2.1 Customer Benefit Output'!C65+1))</f>
        <v>7</v>
      </c>
      <c r="D66" s="16" t="str">
        <f>IF(C66="-","-",INDEX('0. Control Panel'!$B$6:$K$16,MATCH('2.1 Customer Benefit Output'!$C66,'0. Control Panel'!$B$6:$B$16,0),MATCH(D$7,'0. Control Panel'!$B$6:$K$6,0)))</f>
        <v>Finance</v>
      </c>
      <c r="E66" s="6"/>
      <c r="G66" s="24">
        <f>IFERROR(-VLOOKUP($D66,'0. Control Panel'!$C$7:$F$16,4,FALSE)*(('2. Customer Benefit Input'!$F65+'2. Customer Benefit Input'!H65)*'2. Customer Benefit Input'!$L65)+(VLOOKUP($D66,'0. Control Panel'!$C$7:$F$16,4,FALSE)*('2. Customer Benefit Input'!$F65*'2. Customer Benefit Input'!$L65)),0)</f>
        <v>0</v>
      </c>
      <c r="H66" s="24">
        <f>IFERROR(-VLOOKUP($D66,'0. Control Panel'!$C$7:$F$16,4,FALSE)*(('2. Customer Benefit Input'!$F65+'2. Customer Benefit Input'!I65)*'2. Customer Benefit Input'!$L65)+(VLOOKUP($D66,'0. Control Panel'!$C$7:$F$16,4,FALSE)*('2. Customer Benefit Input'!$F65*'2. Customer Benefit Input'!$L65)),0)</f>
        <v>0</v>
      </c>
      <c r="I66" s="24">
        <f>IFERROR(-VLOOKUP($D66,'0. Control Panel'!$C$7:$F$16,4,FALSE)*(('2. Customer Benefit Input'!$F65+'2. Customer Benefit Input'!J65)*'2. Customer Benefit Input'!$L65)+(VLOOKUP($D66,'0. Control Panel'!$C$7:$F$16,4,FALSE)*('2. Customer Benefit Input'!$F65*'2. Customer Benefit Input'!$L65)),0)</f>
        <v>0</v>
      </c>
      <c r="K66" s="24">
        <f>IFERROR((VLOOKUP($D66,'0. Control Panel'!$C$7:$F$16,4,FALSE)*('2. Customer Benefit Input'!$F65+'2. Customer Benefit Input'!H65)*'2. Customer Benefit Input'!$L65)-(VLOOKUP($D66,'0. Control Panel'!$C$7:$F$16,4,FALSE)*('2. Customer Benefit Input'!$F65+'2. Customer Benefit Input'!H65)*'2. Customer Benefit Input'!N65),0)</f>
        <v>0</v>
      </c>
      <c r="L66" s="24">
        <f>IFERROR((VLOOKUP($D66,'0. Control Panel'!$C$7:$F$16,4,FALSE)*('2. Customer Benefit Input'!$F65+'2. Customer Benefit Input'!I65)*'2. Customer Benefit Input'!$L65)-(VLOOKUP($D66,'0. Control Panel'!$C$7:$F$16,4,FALSE)*('2. Customer Benefit Input'!$F65+'2. Customer Benefit Input'!I65)*'2. Customer Benefit Input'!O65),0)</f>
        <v>0</v>
      </c>
      <c r="M66" s="24">
        <f>IFERROR((VLOOKUP($D66,'0. Control Panel'!$C$7:$F$16,4,FALSE)*('2. Customer Benefit Input'!$F65+'2. Customer Benefit Input'!J65)*'2. Customer Benefit Input'!$L65)-(VLOOKUP($D66,'0. Control Panel'!$C$7:$F$16,4,FALSE)*('2. Customer Benefit Input'!$F65+'2. Customer Benefit Input'!J65)*'2. Customer Benefit Input'!P65),0)</f>
        <v>0</v>
      </c>
      <c r="N66" s="25"/>
      <c r="O66" s="24">
        <f>'2. Customer Benefit Input'!T65</f>
        <v>0</v>
      </c>
      <c r="P66" s="24">
        <f>'2. Customer Benefit Input'!U65</f>
        <v>0</v>
      </c>
      <c r="Q66" s="24">
        <f>'2. Customer Benefit Input'!V65</f>
        <v>0</v>
      </c>
      <c r="R66" s="25"/>
      <c r="S66" s="24">
        <f t="shared" si="63"/>
        <v>0</v>
      </c>
      <c r="T66" s="24">
        <f t="shared" si="60"/>
        <v>0</v>
      </c>
      <c r="U66" s="24">
        <f t="shared" si="61"/>
        <v>0</v>
      </c>
    </row>
    <row r="67" spans="1:21" x14ac:dyDescent="0.25">
      <c r="A67" s="34" t="str">
        <f t="shared" si="62"/>
        <v>Head OfficeC5</v>
      </c>
      <c r="B67" s="34"/>
      <c r="C67" s="6">
        <f>IF(C66="-","-",IF(C66+1&gt;COUNTA('0. Control Panel'!$C$7:$C$16),"-",'2.1 Customer Benefit Output'!C66+1))</f>
        <v>8</v>
      </c>
      <c r="D67" s="16" t="str">
        <f>IF(C67="-","-",INDEX('0. Control Panel'!$B$6:$K$16,MATCH('2.1 Customer Benefit Output'!$C67,'0. Control Panel'!$B$6:$B$16,0),MATCH(D$7,'0. Control Panel'!$B$6:$K$6,0)))</f>
        <v>Head Office</v>
      </c>
      <c r="E67" s="6"/>
      <c r="G67" s="24">
        <f>IFERROR(-VLOOKUP($D67,'0. Control Panel'!$C$7:$F$16,4,FALSE)*(('2. Customer Benefit Input'!$F66+'2. Customer Benefit Input'!H66)*'2. Customer Benefit Input'!$L66)+(VLOOKUP($D67,'0. Control Panel'!$C$7:$F$16,4,FALSE)*('2. Customer Benefit Input'!$F66*'2. Customer Benefit Input'!$L66)),0)</f>
        <v>0</v>
      </c>
      <c r="H67" s="24">
        <f>IFERROR(-VLOOKUP($D67,'0. Control Panel'!$C$7:$F$16,4,FALSE)*(('2. Customer Benefit Input'!$F66+'2. Customer Benefit Input'!I66)*'2. Customer Benefit Input'!$L66)+(VLOOKUP($D67,'0. Control Panel'!$C$7:$F$16,4,FALSE)*('2. Customer Benefit Input'!$F66*'2. Customer Benefit Input'!$L66)),0)</f>
        <v>0</v>
      </c>
      <c r="I67" s="24">
        <f>IFERROR(-VLOOKUP($D67,'0. Control Panel'!$C$7:$F$16,4,FALSE)*(('2. Customer Benefit Input'!$F66+'2. Customer Benefit Input'!J66)*'2. Customer Benefit Input'!$L66)+(VLOOKUP($D67,'0. Control Panel'!$C$7:$F$16,4,FALSE)*('2. Customer Benefit Input'!$F66*'2. Customer Benefit Input'!$L66)),0)</f>
        <v>0</v>
      </c>
      <c r="K67" s="24">
        <f>IFERROR((VLOOKUP($D67,'0. Control Panel'!$C$7:$F$16,4,FALSE)*('2. Customer Benefit Input'!$F66+'2. Customer Benefit Input'!H66)*'2. Customer Benefit Input'!$L66)-(VLOOKUP($D67,'0. Control Panel'!$C$7:$F$16,4,FALSE)*('2. Customer Benefit Input'!$F66+'2. Customer Benefit Input'!H66)*'2. Customer Benefit Input'!N66),0)</f>
        <v>0</v>
      </c>
      <c r="L67" s="24">
        <f>IFERROR((VLOOKUP($D67,'0. Control Panel'!$C$7:$F$16,4,FALSE)*('2. Customer Benefit Input'!$F66+'2. Customer Benefit Input'!I66)*'2. Customer Benefit Input'!$L66)-(VLOOKUP($D67,'0. Control Panel'!$C$7:$F$16,4,FALSE)*('2. Customer Benefit Input'!$F66+'2. Customer Benefit Input'!I66)*'2. Customer Benefit Input'!O66),0)</f>
        <v>0</v>
      </c>
      <c r="M67" s="24">
        <f>IFERROR((VLOOKUP($D67,'0. Control Panel'!$C$7:$F$16,4,FALSE)*('2. Customer Benefit Input'!$F66+'2. Customer Benefit Input'!J66)*'2. Customer Benefit Input'!$L66)-(VLOOKUP($D67,'0. Control Panel'!$C$7:$F$16,4,FALSE)*('2. Customer Benefit Input'!$F66+'2. Customer Benefit Input'!J66)*'2. Customer Benefit Input'!P66),0)</f>
        <v>0</v>
      </c>
      <c r="N67" s="25"/>
      <c r="O67" s="24">
        <f>'2. Customer Benefit Input'!T66</f>
        <v>0</v>
      </c>
      <c r="P67" s="24">
        <f>'2. Customer Benefit Input'!U66</f>
        <v>0</v>
      </c>
      <c r="Q67" s="24">
        <f>'2. Customer Benefit Input'!V66</f>
        <v>0</v>
      </c>
      <c r="R67" s="25"/>
      <c r="S67" s="24">
        <f t="shared" si="63"/>
        <v>0</v>
      </c>
      <c r="T67" s="24">
        <f t="shared" si="60"/>
        <v>0</v>
      </c>
      <c r="U67" s="24">
        <f t="shared" si="61"/>
        <v>0</v>
      </c>
    </row>
    <row r="68" spans="1:21" x14ac:dyDescent="0.25">
      <c r="A68" s="34" t="str">
        <f t="shared" si="62"/>
        <v>-C5</v>
      </c>
      <c r="B68" s="34"/>
      <c r="C68" s="6" t="str">
        <f>IF(C67="-","-",IF(C67+1&gt;COUNTA('0. Control Panel'!$C$7:$C$16),"-",'2.1 Customer Benefit Output'!C67+1))</f>
        <v>-</v>
      </c>
      <c r="D68" s="16" t="str">
        <f>IF(C68="-","-",INDEX('0. Control Panel'!$B$6:$K$16,MATCH('2.1 Customer Benefit Output'!$C68,'0. Control Panel'!$B$6:$B$16,0),MATCH(D$7,'0. Control Panel'!$B$6:$K$6,0)))</f>
        <v>-</v>
      </c>
      <c r="E68" s="6"/>
      <c r="G68" s="24">
        <f>IFERROR(-VLOOKUP($D68,'0. Control Panel'!$C$7:$F$16,4,FALSE)*(('2. Customer Benefit Input'!$F67+'2. Customer Benefit Input'!H67)*'2. Customer Benefit Input'!$L67)+(VLOOKUP($D68,'0. Control Panel'!$C$7:$F$16,4,FALSE)*('2. Customer Benefit Input'!$F67*'2. Customer Benefit Input'!$L67)),0)</f>
        <v>0</v>
      </c>
      <c r="H68" s="24">
        <f>IFERROR(-VLOOKUP($D68,'0. Control Panel'!$C$7:$F$16,4,FALSE)*(('2. Customer Benefit Input'!$F67+'2. Customer Benefit Input'!I67)*'2. Customer Benefit Input'!$L67)+(VLOOKUP($D68,'0. Control Panel'!$C$7:$F$16,4,FALSE)*('2. Customer Benefit Input'!$F67*'2. Customer Benefit Input'!$L67)),0)</f>
        <v>0</v>
      </c>
      <c r="I68" s="24">
        <f>IFERROR(-VLOOKUP($D68,'0. Control Panel'!$C$7:$F$16,4,FALSE)*(('2. Customer Benefit Input'!$F67+'2. Customer Benefit Input'!J67)*'2. Customer Benefit Input'!$L67)+(VLOOKUP($D68,'0. Control Panel'!$C$7:$F$16,4,FALSE)*('2. Customer Benefit Input'!$F67*'2. Customer Benefit Input'!$L67)),0)</f>
        <v>0</v>
      </c>
      <c r="K68" s="24">
        <f>IFERROR((VLOOKUP($D68,'0. Control Panel'!$C$7:$F$16,4,FALSE)*('2. Customer Benefit Input'!$F67+'2. Customer Benefit Input'!H67)*'2. Customer Benefit Input'!$L67)-(VLOOKUP($D68,'0. Control Panel'!$C$7:$F$16,4,FALSE)*('2. Customer Benefit Input'!$F67+'2. Customer Benefit Input'!H67)*'2. Customer Benefit Input'!N67),0)</f>
        <v>0</v>
      </c>
      <c r="L68" s="24">
        <f>IFERROR((VLOOKUP($D68,'0. Control Panel'!$C$7:$F$16,4,FALSE)*('2. Customer Benefit Input'!$F67+'2. Customer Benefit Input'!I67)*'2. Customer Benefit Input'!$L67)-(VLOOKUP($D68,'0. Control Panel'!$C$7:$F$16,4,FALSE)*('2. Customer Benefit Input'!$F67+'2. Customer Benefit Input'!I67)*'2. Customer Benefit Input'!O67),0)</f>
        <v>0</v>
      </c>
      <c r="M68" s="24">
        <f>IFERROR((VLOOKUP($D68,'0. Control Panel'!$C$7:$F$16,4,FALSE)*('2. Customer Benefit Input'!$F67+'2. Customer Benefit Input'!J67)*'2. Customer Benefit Input'!$L67)-(VLOOKUP($D68,'0. Control Panel'!$C$7:$F$16,4,FALSE)*('2. Customer Benefit Input'!$F67+'2. Customer Benefit Input'!J67)*'2. Customer Benefit Input'!P67),0)</f>
        <v>0</v>
      </c>
      <c r="N68" s="25"/>
      <c r="O68" s="24">
        <f>'2. Customer Benefit Input'!T67</f>
        <v>0</v>
      </c>
      <c r="P68" s="24">
        <f>'2. Customer Benefit Input'!U67</f>
        <v>0</v>
      </c>
      <c r="Q68" s="24">
        <f>'2. Customer Benefit Input'!V67</f>
        <v>0</v>
      </c>
      <c r="R68" s="25"/>
      <c r="S68" s="24">
        <f t="shared" si="63"/>
        <v>0</v>
      </c>
      <c r="T68" s="24">
        <f t="shared" si="60"/>
        <v>0</v>
      </c>
      <c r="U68" s="24">
        <f t="shared" si="61"/>
        <v>0</v>
      </c>
    </row>
    <row r="69" spans="1:21" x14ac:dyDescent="0.25">
      <c r="A69" s="34" t="str">
        <f t="shared" si="62"/>
        <v>-C5</v>
      </c>
      <c r="B69" s="34"/>
      <c r="C69" s="7" t="str">
        <f>IF(C68="-","-",IF(C68+1&gt;COUNTA('0. Control Panel'!$C$7:$C$16),"-",'2.1 Customer Benefit Output'!C68+1))</f>
        <v>-</v>
      </c>
      <c r="D69" s="17" t="str">
        <f>IF(C69="-","-",INDEX('0. Control Panel'!$B$6:$K$16,MATCH('2.1 Customer Benefit Output'!$C69,'0. Control Panel'!$B$6:$B$16,0),MATCH(D$7,'0. Control Panel'!$B$6:$K$6,0)))</f>
        <v>-</v>
      </c>
      <c r="E69" s="7"/>
      <c r="G69" s="24">
        <f>IFERROR(-VLOOKUP($D69,'0. Control Panel'!$C$7:$F$16,4,FALSE)*(('2. Customer Benefit Input'!$F68+'2. Customer Benefit Input'!H68)*'2. Customer Benefit Input'!$L68)+(VLOOKUP($D69,'0. Control Panel'!$C$7:$F$16,4,FALSE)*('2. Customer Benefit Input'!$F68*'2. Customer Benefit Input'!$L68)),0)</f>
        <v>0</v>
      </c>
      <c r="H69" s="24">
        <f>IFERROR(-VLOOKUP($D69,'0. Control Panel'!$C$7:$F$16,4,FALSE)*(('2. Customer Benefit Input'!$F68+'2. Customer Benefit Input'!I68)*'2. Customer Benefit Input'!$L68)+(VLOOKUP($D69,'0. Control Panel'!$C$7:$F$16,4,FALSE)*('2. Customer Benefit Input'!$F68*'2. Customer Benefit Input'!$L68)),0)</f>
        <v>0</v>
      </c>
      <c r="I69" s="24">
        <f>IFERROR(-VLOOKUP($D69,'0. Control Panel'!$C$7:$F$16,4,FALSE)*(('2. Customer Benefit Input'!$F68+'2. Customer Benefit Input'!J68)*'2. Customer Benefit Input'!$L68)+(VLOOKUP($D69,'0. Control Panel'!$C$7:$F$16,4,FALSE)*('2. Customer Benefit Input'!$F68*'2. Customer Benefit Input'!$L68)),0)</f>
        <v>0</v>
      </c>
      <c r="K69" s="24">
        <f>IFERROR((VLOOKUP($D69,'0. Control Panel'!$C$7:$F$16,4,FALSE)*('2. Customer Benefit Input'!$F68+'2. Customer Benefit Input'!H68)*'2. Customer Benefit Input'!$L68)-(VLOOKUP($D69,'0. Control Panel'!$C$7:$F$16,4,FALSE)*('2. Customer Benefit Input'!$F68+'2. Customer Benefit Input'!H68)*'2. Customer Benefit Input'!N68),0)</f>
        <v>0</v>
      </c>
      <c r="L69" s="24">
        <f>IFERROR((VLOOKUP($D69,'0. Control Panel'!$C$7:$F$16,4,FALSE)*('2. Customer Benefit Input'!$F68+'2. Customer Benefit Input'!I68)*'2. Customer Benefit Input'!$L68)-(VLOOKUP($D69,'0. Control Panel'!$C$7:$F$16,4,FALSE)*('2. Customer Benefit Input'!$F68+'2. Customer Benefit Input'!I68)*'2. Customer Benefit Input'!O68),0)</f>
        <v>0</v>
      </c>
      <c r="M69" s="24">
        <f>IFERROR((VLOOKUP($D69,'0. Control Panel'!$C$7:$F$16,4,FALSE)*('2. Customer Benefit Input'!$F68+'2. Customer Benefit Input'!J68)*'2. Customer Benefit Input'!$L68)-(VLOOKUP($D69,'0. Control Panel'!$C$7:$F$16,4,FALSE)*('2. Customer Benefit Input'!$F68+'2. Customer Benefit Input'!J68)*'2. Customer Benefit Input'!P68),0)</f>
        <v>0</v>
      </c>
      <c r="N69" s="25"/>
      <c r="O69" s="24">
        <f>'2. Customer Benefit Input'!T68</f>
        <v>0</v>
      </c>
      <c r="P69" s="24">
        <f>'2. Customer Benefit Input'!U68</f>
        <v>0</v>
      </c>
      <c r="Q69" s="24">
        <f>'2. Customer Benefit Input'!V68</f>
        <v>0</v>
      </c>
      <c r="R69" s="25"/>
      <c r="S69" s="24">
        <f t="shared" si="63"/>
        <v>0</v>
      </c>
      <c r="T69" s="24">
        <f t="shared" si="60"/>
        <v>0</v>
      </c>
      <c r="U69" s="24">
        <f t="shared" si="61"/>
        <v>0</v>
      </c>
    </row>
    <row r="70" spans="1:21" ht="16.5" thickBot="1" x14ac:dyDescent="0.3">
      <c r="A70" s="34" t="str">
        <f>D70&amp;$C$59</f>
        <v>All Departments/FunctionsC5</v>
      </c>
      <c r="B70" s="34"/>
      <c r="C70" s="23"/>
      <c r="D70" s="27" t="str">
        <f>D57</f>
        <v>All Departments/Functions</v>
      </c>
      <c r="E70" s="23"/>
      <c r="F70" s="23"/>
      <c r="G70" s="28">
        <f>SUM(G60:G69)</f>
        <v>80000</v>
      </c>
      <c r="H70" s="28">
        <f t="shared" ref="H70" si="64">SUM(H60:H69)</f>
        <v>240000</v>
      </c>
      <c r="I70" s="28">
        <f t="shared" ref="I70" si="65">SUM(I60:I69)</f>
        <v>440000</v>
      </c>
      <c r="J70" s="23"/>
      <c r="K70" s="28">
        <f>SUM(K60:K69)</f>
        <v>0</v>
      </c>
      <c r="L70" s="28">
        <f t="shared" ref="L70" si="66">SUM(L60:L69)</f>
        <v>286800</v>
      </c>
      <c r="M70" s="28">
        <f t="shared" ref="M70" si="67">SUM(M60:M69)</f>
        <v>493600</v>
      </c>
      <c r="N70" s="29"/>
      <c r="O70" s="28">
        <f t="shared" ref="O70" si="68">SUM(O60:O69)</f>
        <v>150000</v>
      </c>
      <c r="P70" s="28">
        <f t="shared" ref="P70" si="69">SUM(P60:P69)</f>
        <v>150000</v>
      </c>
      <c r="Q70" s="28">
        <f t="shared" ref="Q70" si="70">SUM(Q60:Q69)</f>
        <v>150000</v>
      </c>
      <c r="R70" s="29"/>
      <c r="S70" s="28">
        <f t="shared" ref="S70" si="71">SUM(S60:S69)</f>
        <v>230000</v>
      </c>
      <c r="T70" s="28">
        <f t="shared" ref="T70" si="72">SUM(T60:T69)</f>
        <v>676800</v>
      </c>
      <c r="U70" s="28">
        <f t="shared" ref="U70" si="73">SUM(U60:U69)</f>
        <v>1083600</v>
      </c>
    </row>
    <row r="71" spans="1:21" ht="16.5" thickTop="1" x14ac:dyDescent="0.25">
      <c r="A71" s="34"/>
      <c r="B71" s="34"/>
      <c r="C71" s="4"/>
      <c r="D71" s="4"/>
      <c r="E71" s="4"/>
      <c r="F71"/>
      <c r="G71" s="26"/>
      <c r="H71" s="26"/>
      <c r="I71" s="26"/>
      <c r="J71"/>
      <c r="K71" s="26"/>
      <c r="L71" s="26"/>
      <c r="M71" s="26"/>
      <c r="N71" s="26"/>
      <c r="O71" s="26"/>
      <c r="P71" s="26"/>
      <c r="Q71" s="26"/>
      <c r="R71" s="26"/>
      <c r="S71" s="26"/>
      <c r="T71" s="26"/>
      <c r="U71" s="26"/>
    </row>
    <row r="72" spans="1:21" ht="15.95" customHeight="1" x14ac:dyDescent="0.25">
      <c r="A72" s="34"/>
      <c r="B72" s="34"/>
      <c r="C72" s="12" t="s">
        <v>17</v>
      </c>
      <c r="D72" s="30" t="str">
        <f>IF(INDEX('0. Control Panel'!$B$19:$C$29,MATCH('2.1 Customer Benefit Output'!$C72,'0. Control Panel'!$B$19:$B$29,0),2)="","n/a",INDEX('0. Control Panel'!$B$19:$C$29,MATCH('2.1 Customer Benefit Output'!$C72,'0. Control Panel'!$B$19:$B$29,0),2))</f>
        <v>Call Center Efficiency</v>
      </c>
      <c r="F72"/>
      <c r="G72" s="26"/>
      <c r="H72" s="26"/>
      <c r="I72" s="26"/>
      <c r="J72"/>
      <c r="K72" s="26"/>
      <c r="L72" s="26"/>
      <c r="M72" s="26"/>
      <c r="N72" s="26"/>
      <c r="O72" s="26"/>
      <c r="P72" s="26"/>
      <c r="Q72" s="26"/>
      <c r="R72" s="26"/>
      <c r="S72" s="26"/>
      <c r="T72" s="26"/>
      <c r="U72" s="26"/>
    </row>
    <row r="73" spans="1:21" x14ac:dyDescent="0.25">
      <c r="A73" s="34" t="str">
        <f>D73&amp;$C$72</f>
        <v>ITC6</v>
      </c>
      <c r="B73" s="34"/>
      <c r="C73" s="5">
        <v>1</v>
      </c>
      <c r="D73" s="15" t="str">
        <f>IF(C73="-","-",INDEX('0. Control Panel'!$B$6:$K$16,MATCH('2.1 Customer Benefit Output'!$C73,'0. Control Panel'!$B$6:$B$16,0),MATCH(D$7,'0. Control Panel'!$B$6:$K$6,0)))</f>
        <v>IT</v>
      </c>
      <c r="E73" s="5"/>
      <c r="G73" s="24">
        <f>IFERROR(-VLOOKUP($D73,'0. Control Panel'!$C$7:$F$16,4,FALSE)*(('2. Customer Benefit Input'!$F72+'2. Customer Benefit Input'!H72)*'2. Customer Benefit Input'!$L72)+(VLOOKUP($D73,'0. Control Panel'!$C$7:$F$16,4,FALSE)*('2. Customer Benefit Input'!$F72*'2. Customer Benefit Input'!$L72)),0)</f>
        <v>0</v>
      </c>
      <c r="H73" s="24">
        <f>IFERROR(-VLOOKUP($D73,'0. Control Panel'!$C$7:$F$16,4,FALSE)*(('2. Customer Benefit Input'!$F72+'2. Customer Benefit Input'!I72)*'2. Customer Benefit Input'!$L72)+(VLOOKUP($D73,'0. Control Panel'!$C$7:$F$16,4,FALSE)*('2. Customer Benefit Input'!$F72*'2. Customer Benefit Input'!$L72)),0)</f>
        <v>0</v>
      </c>
      <c r="I73" s="24">
        <f>IFERROR(-VLOOKUP($D73,'0. Control Panel'!$C$7:$F$16,4,FALSE)*(('2. Customer Benefit Input'!$F72+'2. Customer Benefit Input'!J72)*'2. Customer Benefit Input'!$L72)+(VLOOKUP($D73,'0. Control Panel'!$C$7:$F$16,4,FALSE)*('2. Customer Benefit Input'!$F72*'2. Customer Benefit Input'!$L72)),0)</f>
        <v>0</v>
      </c>
      <c r="K73" s="24">
        <f>IFERROR((VLOOKUP($D73,'0. Control Panel'!$C$7:$F$16,4,FALSE)*('2. Customer Benefit Input'!$F72+'2. Customer Benefit Input'!H72)*'2. Customer Benefit Input'!$L72)-(VLOOKUP($D73,'0. Control Panel'!$C$7:$F$16,4,FALSE)*('2. Customer Benefit Input'!$F72+'2. Customer Benefit Input'!H72)*'2. Customer Benefit Input'!N72),0)</f>
        <v>0</v>
      </c>
      <c r="L73" s="24">
        <f>IFERROR((VLOOKUP($D73,'0. Control Panel'!$C$7:$F$16,4,FALSE)*('2. Customer Benefit Input'!$F72+'2. Customer Benefit Input'!I72)*'2. Customer Benefit Input'!$L72)-(VLOOKUP($D73,'0. Control Panel'!$C$7:$F$16,4,FALSE)*('2. Customer Benefit Input'!$F72+'2. Customer Benefit Input'!I72)*'2. Customer Benefit Input'!O72),0)</f>
        <v>0</v>
      </c>
      <c r="M73" s="24">
        <f>IFERROR((VLOOKUP($D73,'0. Control Panel'!$C$7:$F$16,4,FALSE)*('2. Customer Benefit Input'!$F72+'2. Customer Benefit Input'!J72)*'2. Customer Benefit Input'!$L72)-(VLOOKUP($D73,'0. Control Panel'!$C$7:$F$16,4,FALSE)*('2. Customer Benefit Input'!$F72+'2. Customer Benefit Input'!J72)*'2. Customer Benefit Input'!P72),0)</f>
        <v>0</v>
      </c>
      <c r="N73" s="25"/>
      <c r="O73" s="24">
        <f>'2. Customer Benefit Input'!T72</f>
        <v>0</v>
      </c>
      <c r="P73" s="24">
        <f>'2. Customer Benefit Input'!U72</f>
        <v>0</v>
      </c>
      <c r="Q73" s="24">
        <f>'2. Customer Benefit Input'!V72</f>
        <v>0</v>
      </c>
      <c r="R73" s="25"/>
      <c r="S73" s="24">
        <f>SUM(G73,K73,O73)</f>
        <v>0</v>
      </c>
      <c r="T73" s="24">
        <f t="shared" ref="T73:T82" si="74">SUM(H73,L73,P73)</f>
        <v>0</v>
      </c>
      <c r="U73" s="24">
        <f t="shared" ref="U73:U82" si="75">SUM(I73,M73,Q73)</f>
        <v>0</v>
      </c>
    </row>
    <row r="74" spans="1:21" x14ac:dyDescent="0.25">
      <c r="A74" s="34" t="str">
        <f t="shared" ref="A74:A82" si="76">D74&amp;$C$72</f>
        <v>SalesC6</v>
      </c>
      <c r="B74" s="34"/>
      <c r="C74" s="6">
        <f>IF(C73="-","-",IF(C73+1&gt;COUNTA('0. Control Panel'!$C$7:$C$16),"-",'2.1 Customer Benefit Output'!C73+1))</f>
        <v>2</v>
      </c>
      <c r="D74" s="16" t="str">
        <f>IF(C74="-","-",INDEX('0. Control Panel'!$B$6:$K$16,MATCH('2.1 Customer Benefit Output'!$C74,'0. Control Panel'!$B$6:$B$16,0),MATCH(D$7,'0. Control Panel'!$B$6:$K$6,0)))</f>
        <v>Sales</v>
      </c>
      <c r="E74" s="6"/>
      <c r="G74" s="24">
        <f>IFERROR(-VLOOKUP($D74,'0. Control Panel'!$C$7:$F$16,4,FALSE)*(('2. Customer Benefit Input'!$F73+'2. Customer Benefit Input'!H73)*'2. Customer Benefit Input'!$L73)+(VLOOKUP($D74,'0. Control Panel'!$C$7:$F$16,4,FALSE)*('2. Customer Benefit Input'!$F73*'2. Customer Benefit Input'!$L73)),0)</f>
        <v>0</v>
      </c>
      <c r="H74" s="24">
        <f>IFERROR(-VLOOKUP($D74,'0. Control Panel'!$C$7:$F$16,4,FALSE)*(('2. Customer Benefit Input'!$F73+'2. Customer Benefit Input'!I73)*'2. Customer Benefit Input'!$L73)+(VLOOKUP($D74,'0. Control Panel'!$C$7:$F$16,4,FALSE)*('2. Customer Benefit Input'!$F73*'2. Customer Benefit Input'!$L73)),0)</f>
        <v>0</v>
      </c>
      <c r="I74" s="24">
        <f>IFERROR(-VLOOKUP($D74,'0. Control Panel'!$C$7:$F$16,4,FALSE)*(('2. Customer Benefit Input'!$F73+'2. Customer Benefit Input'!J73)*'2. Customer Benefit Input'!$L73)+(VLOOKUP($D74,'0. Control Panel'!$C$7:$F$16,4,FALSE)*('2. Customer Benefit Input'!$F73*'2. Customer Benefit Input'!$L73)),0)</f>
        <v>0</v>
      </c>
      <c r="K74" s="24">
        <f>IFERROR((VLOOKUP($D74,'0. Control Panel'!$C$7:$F$16,4,FALSE)*('2. Customer Benefit Input'!$F73+'2. Customer Benefit Input'!H73)*'2. Customer Benefit Input'!$L73)-(VLOOKUP($D74,'0. Control Panel'!$C$7:$F$16,4,FALSE)*('2. Customer Benefit Input'!$F73+'2. Customer Benefit Input'!H73)*'2. Customer Benefit Input'!N73),0)</f>
        <v>0</v>
      </c>
      <c r="L74" s="24">
        <f>IFERROR((VLOOKUP($D74,'0. Control Panel'!$C$7:$F$16,4,FALSE)*('2. Customer Benefit Input'!$F73+'2. Customer Benefit Input'!I73)*'2. Customer Benefit Input'!$L73)-(VLOOKUP($D74,'0. Control Panel'!$C$7:$F$16,4,FALSE)*('2. Customer Benefit Input'!$F73+'2. Customer Benefit Input'!I73)*'2. Customer Benefit Input'!O73),0)</f>
        <v>0</v>
      </c>
      <c r="M74" s="24">
        <f>IFERROR((VLOOKUP($D74,'0. Control Panel'!$C$7:$F$16,4,FALSE)*('2. Customer Benefit Input'!$F73+'2. Customer Benefit Input'!J73)*'2. Customer Benefit Input'!$L73)-(VLOOKUP($D74,'0. Control Panel'!$C$7:$F$16,4,FALSE)*('2. Customer Benefit Input'!$F73+'2. Customer Benefit Input'!J73)*'2. Customer Benefit Input'!P73),0)</f>
        <v>0</v>
      </c>
      <c r="N74" s="25"/>
      <c r="O74" s="24">
        <f>'2. Customer Benefit Input'!T73</f>
        <v>0</v>
      </c>
      <c r="P74" s="24">
        <f>'2. Customer Benefit Input'!U73</f>
        <v>0</v>
      </c>
      <c r="Q74" s="24">
        <f>'2. Customer Benefit Input'!V73</f>
        <v>0</v>
      </c>
      <c r="R74" s="25"/>
      <c r="S74" s="24">
        <f t="shared" ref="S74:S82" si="77">SUM(G74,K74,O74)</f>
        <v>0</v>
      </c>
      <c r="T74" s="24">
        <f t="shared" si="74"/>
        <v>0</v>
      </c>
      <c r="U74" s="24">
        <f t="shared" si="75"/>
        <v>0</v>
      </c>
    </row>
    <row r="75" spans="1:21" x14ac:dyDescent="0.25">
      <c r="A75" s="34" t="str">
        <f t="shared" si="76"/>
        <v>Product AC6</v>
      </c>
      <c r="B75" s="34"/>
      <c r="C75" s="6">
        <f>IF(C74="-","-",IF(C74+1&gt;COUNTA('0. Control Panel'!$C$7:$C$16),"-",'2.1 Customer Benefit Output'!C74+1))</f>
        <v>3</v>
      </c>
      <c r="D75" s="16" t="str">
        <f>IF(C75="-","-",INDEX('0. Control Panel'!$B$6:$K$16,MATCH('2.1 Customer Benefit Output'!$C75,'0. Control Panel'!$B$6:$B$16,0),MATCH(D$7,'0. Control Panel'!$B$6:$K$6,0)))</f>
        <v>Product A</v>
      </c>
      <c r="E75" s="6"/>
      <c r="G75" s="24">
        <f>IFERROR(-VLOOKUP($D75,'0. Control Panel'!$C$7:$F$16,4,FALSE)*(('2. Customer Benefit Input'!$F74+'2. Customer Benefit Input'!H74)*'2. Customer Benefit Input'!$L74)+(VLOOKUP($D75,'0. Control Panel'!$C$7:$F$16,4,FALSE)*('2. Customer Benefit Input'!$F74*'2. Customer Benefit Input'!$L74)),0)</f>
        <v>0</v>
      </c>
      <c r="H75" s="24">
        <f>IFERROR(-VLOOKUP($D75,'0. Control Panel'!$C$7:$F$16,4,FALSE)*(('2. Customer Benefit Input'!$F74+'2. Customer Benefit Input'!I74)*'2. Customer Benefit Input'!$L74)+(VLOOKUP($D75,'0. Control Panel'!$C$7:$F$16,4,FALSE)*('2. Customer Benefit Input'!$F74*'2. Customer Benefit Input'!$L74)),0)</f>
        <v>0</v>
      </c>
      <c r="I75" s="24">
        <f>IFERROR(-VLOOKUP($D75,'0. Control Panel'!$C$7:$F$16,4,FALSE)*(('2. Customer Benefit Input'!$F74+'2. Customer Benefit Input'!J74)*'2. Customer Benefit Input'!$L74)+(VLOOKUP($D75,'0. Control Panel'!$C$7:$F$16,4,FALSE)*('2. Customer Benefit Input'!$F74*'2. Customer Benefit Input'!$L74)),0)</f>
        <v>0</v>
      </c>
      <c r="K75" s="24">
        <f>IFERROR((VLOOKUP($D75,'0. Control Panel'!$C$7:$F$16,4,FALSE)*('2. Customer Benefit Input'!$F74+'2. Customer Benefit Input'!H74)*'2. Customer Benefit Input'!$L74)-(VLOOKUP($D75,'0. Control Panel'!$C$7:$F$16,4,FALSE)*('2. Customer Benefit Input'!$F74+'2. Customer Benefit Input'!H74)*'2. Customer Benefit Input'!N74),0)</f>
        <v>0</v>
      </c>
      <c r="L75" s="24">
        <f>IFERROR((VLOOKUP($D75,'0. Control Panel'!$C$7:$F$16,4,FALSE)*('2. Customer Benefit Input'!$F74+'2. Customer Benefit Input'!I74)*'2. Customer Benefit Input'!$L74)-(VLOOKUP($D75,'0. Control Panel'!$C$7:$F$16,4,FALSE)*('2. Customer Benefit Input'!$F74+'2. Customer Benefit Input'!I74)*'2. Customer Benefit Input'!O74),0)</f>
        <v>0</v>
      </c>
      <c r="M75" s="24">
        <f>IFERROR((VLOOKUP($D75,'0. Control Panel'!$C$7:$F$16,4,FALSE)*('2. Customer Benefit Input'!$F74+'2. Customer Benefit Input'!J74)*'2. Customer Benefit Input'!$L74)-(VLOOKUP($D75,'0. Control Panel'!$C$7:$F$16,4,FALSE)*('2. Customer Benefit Input'!$F74+'2. Customer Benefit Input'!J74)*'2. Customer Benefit Input'!P74),0)</f>
        <v>0</v>
      </c>
      <c r="N75" s="25"/>
      <c r="O75" s="24">
        <f>'2. Customer Benefit Input'!T74</f>
        <v>0</v>
      </c>
      <c r="P75" s="24">
        <f>'2. Customer Benefit Input'!U74</f>
        <v>0</v>
      </c>
      <c r="Q75" s="24">
        <f>'2. Customer Benefit Input'!V74</f>
        <v>0</v>
      </c>
      <c r="R75" s="25"/>
      <c r="S75" s="24">
        <f t="shared" si="77"/>
        <v>0</v>
      </c>
      <c r="T75" s="24">
        <f t="shared" si="74"/>
        <v>0</v>
      </c>
      <c r="U75" s="24">
        <f t="shared" si="75"/>
        <v>0</v>
      </c>
    </row>
    <row r="76" spans="1:21" x14ac:dyDescent="0.25">
      <c r="A76" s="34" t="str">
        <f t="shared" si="76"/>
        <v>Product BC6</v>
      </c>
      <c r="B76" s="34"/>
      <c r="C76" s="6">
        <f>IF(C75="-","-",IF(C75+1&gt;COUNTA('0. Control Panel'!$C$7:$C$16),"-",'2.1 Customer Benefit Output'!C75+1))</f>
        <v>4</v>
      </c>
      <c r="D76" s="16" t="str">
        <f>IF(C76="-","-",INDEX('0. Control Panel'!$B$6:$K$16,MATCH('2.1 Customer Benefit Output'!$C76,'0. Control Panel'!$B$6:$B$16,0),MATCH(D$7,'0. Control Panel'!$B$6:$K$6,0)))</f>
        <v>Product B</v>
      </c>
      <c r="E76" s="6"/>
      <c r="G76" s="24">
        <f>IFERROR(-VLOOKUP($D76,'0. Control Panel'!$C$7:$F$16,4,FALSE)*(('2. Customer Benefit Input'!$F75+'2. Customer Benefit Input'!H75)*'2. Customer Benefit Input'!$L75)+(VLOOKUP($D76,'0. Control Panel'!$C$7:$F$16,4,FALSE)*('2. Customer Benefit Input'!$F75*'2. Customer Benefit Input'!$L75)),0)</f>
        <v>0</v>
      </c>
      <c r="H76" s="24">
        <f>IFERROR(-VLOOKUP($D76,'0. Control Panel'!$C$7:$F$16,4,FALSE)*(('2. Customer Benefit Input'!$F75+'2. Customer Benefit Input'!I75)*'2. Customer Benefit Input'!$L75)+(VLOOKUP($D76,'0. Control Panel'!$C$7:$F$16,4,FALSE)*('2. Customer Benefit Input'!$F75*'2. Customer Benefit Input'!$L75)),0)</f>
        <v>0</v>
      </c>
      <c r="I76" s="24">
        <f>IFERROR(-VLOOKUP($D76,'0. Control Panel'!$C$7:$F$16,4,FALSE)*(('2. Customer Benefit Input'!$F75+'2. Customer Benefit Input'!J75)*'2. Customer Benefit Input'!$L75)+(VLOOKUP($D76,'0. Control Panel'!$C$7:$F$16,4,FALSE)*('2. Customer Benefit Input'!$F75*'2. Customer Benefit Input'!$L75)),0)</f>
        <v>0</v>
      </c>
      <c r="K76" s="24">
        <f>IFERROR((VLOOKUP($D76,'0. Control Panel'!$C$7:$F$16,4,FALSE)*('2. Customer Benefit Input'!$F75+'2. Customer Benefit Input'!H75)*'2. Customer Benefit Input'!$L75)-(VLOOKUP($D76,'0. Control Panel'!$C$7:$F$16,4,FALSE)*('2. Customer Benefit Input'!$F75+'2. Customer Benefit Input'!H75)*'2. Customer Benefit Input'!N75),0)</f>
        <v>0</v>
      </c>
      <c r="L76" s="24">
        <f>IFERROR((VLOOKUP($D76,'0. Control Panel'!$C$7:$F$16,4,FALSE)*('2. Customer Benefit Input'!$F75+'2. Customer Benefit Input'!I75)*'2. Customer Benefit Input'!$L75)-(VLOOKUP($D76,'0. Control Panel'!$C$7:$F$16,4,FALSE)*('2. Customer Benefit Input'!$F75+'2. Customer Benefit Input'!I75)*'2. Customer Benefit Input'!O75),0)</f>
        <v>0</v>
      </c>
      <c r="M76" s="24">
        <f>IFERROR((VLOOKUP($D76,'0. Control Panel'!$C$7:$F$16,4,FALSE)*('2. Customer Benefit Input'!$F75+'2. Customer Benefit Input'!J75)*'2. Customer Benefit Input'!$L75)-(VLOOKUP($D76,'0. Control Panel'!$C$7:$F$16,4,FALSE)*('2. Customer Benefit Input'!$F75+'2. Customer Benefit Input'!J75)*'2. Customer Benefit Input'!P75),0)</f>
        <v>0</v>
      </c>
      <c r="N76" s="25"/>
      <c r="O76" s="24">
        <f>'2. Customer Benefit Input'!T75</f>
        <v>0</v>
      </c>
      <c r="P76" s="24">
        <f>'2. Customer Benefit Input'!U75</f>
        <v>0</v>
      </c>
      <c r="Q76" s="24">
        <f>'2. Customer Benefit Input'!V75</f>
        <v>0</v>
      </c>
      <c r="R76" s="25"/>
      <c r="S76" s="24">
        <f t="shared" si="77"/>
        <v>0</v>
      </c>
      <c r="T76" s="24">
        <f t="shared" si="74"/>
        <v>0</v>
      </c>
      <c r="U76" s="24">
        <f t="shared" si="75"/>
        <v>0</v>
      </c>
    </row>
    <row r="77" spans="1:21" x14ac:dyDescent="0.25">
      <c r="A77" s="34" t="str">
        <f t="shared" si="76"/>
        <v>R&amp;DC6</v>
      </c>
      <c r="B77" s="34"/>
      <c r="C77" s="6">
        <f>IF(C76="-","-",IF(C76+1&gt;COUNTA('0. Control Panel'!$C$7:$C$16),"-",'2.1 Customer Benefit Output'!C76+1))</f>
        <v>5</v>
      </c>
      <c r="D77" s="16" t="str">
        <f>IF(C77="-","-",INDEX('0. Control Panel'!$B$6:$K$16,MATCH('2.1 Customer Benefit Output'!$C77,'0. Control Panel'!$B$6:$B$16,0),MATCH(D$7,'0. Control Panel'!$B$6:$K$6,0)))</f>
        <v>R&amp;D</v>
      </c>
      <c r="E77" s="6"/>
      <c r="G77" s="24">
        <f>IFERROR(-VLOOKUP($D77,'0. Control Panel'!$C$7:$F$16,4,FALSE)*(('2. Customer Benefit Input'!$F76+'2. Customer Benefit Input'!H76)*'2. Customer Benefit Input'!$L76)+(VLOOKUP($D77,'0. Control Panel'!$C$7:$F$16,4,FALSE)*('2. Customer Benefit Input'!$F76*'2. Customer Benefit Input'!$L76)),0)</f>
        <v>55000.000000000007</v>
      </c>
      <c r="H77" s="24">
        <f>IFERROR(-VLOOKUP($D77,'0. Control Panel'!$C$7:$F$16,4,FALSE)*(('2. Customer Benefit Input'!$F76+'2. Customer Benefit Input'!I76)*'2. Customer Benefit Input'!$L76)+(VLOOKUP($D77,'0. Control Panel'!$C$7:$F$16,4,FALSE)*('2. Customer Benefit Input'!$F76*'2. Customer Benefit Input'!$L76)),0)</f>
        <v>55000.000000000007</v>
      </c>
      <c r="I77" s="24">
        <f>IFERROR(-VLOOKUP($D77,'0. Control Panel'!$C$7:$F$16,4,FALSE)*(('2. Customer Benefit Input'!$F76+'2. Customer Benefit Input'!J76)*'2. Customer Benefit Input'!$L76)+(VLOOKUP($D77,'0. Control Panel'!$C$7:$F$16,4,FALSE)*('2. Customer Benefit Input'!$F76*'2. Customer Benefit Input'!$L76)),0)</f>
        <v>55000.000000000007</v>
      </c>
      <c r="K77" s="24">
        <f>IFERROR((VLOOKUP($D77,'0. Control Panel'!$C$7:$F$16,4,FALSE)*('2. Customer Benefit Input'!$F76+'2. Customer Benefit Input'!H76)*'2. Customer Benefit Input'!$L76)-(VLOOKUP($D77,'0. Control Panel'!$C$7:$F$16,4,FALSE)*('2. Customer Benefit Input'!$F76+'2. Customer Benefit Input'!H76)*'2. Customer Benefit Input'!N76),0)</f>
        <v>0</v>
      </c>
      <c r="L77" s="24">
        <f>IFERROR((VLOOKUP($D77,'0. Control Panel'!$C$7:$F$16,4,FALSE)*('2. Customer Benefit Input'!$F76+'2. Customer Benefit Input'!I76)*'2. Customer Benefit Input'!$L76)-(VLOOKUP($D77,'0. Control Panel'!$C$7:$F$16,4,FALSE)*('2. Customer Benefit Input'!$F76+'2. Customer Benefit Input'!I76)*'2. Customer Benefit Input'!O76),0)</f>
        <v>11274.999999999993</v>
      </c>
      <c r="M77" s="24">
        <f>IFERROR((VLOOKUP($D77,'0. Control Panel'!$C$7:$F$16,4,FALSE)*('2. Customer Benefit Input'!$F76+'2. Customer Benefit Input'!J76)*'2. Customer Benefit Input'!$L76)-(VLOOKUP($D77,'0. Control Panel'!$C$7:$F$16,4,FALSE)*('2. Customer Benefit Input'!$F76+'2. Customer Benefit Input'!J76)*'2. Customer Benefit Input'!P76),0)</f>
        <v>22550</v>
      </c>
      <c r="N77" s="25"/>
      <c r="O77" s="24">
        <f>'2. Customer Benefit Input'!T76</f>
        <v>0</v>
      </c>
      <c r="P77" s="24">
        <f>'2. Customer Benefit Input'!U76</f>
        <v>0</v>
      </c>
      <c r="Q77" s="24">
        <f>'2. Customer Benefit Input'!V76</f>
        <v>0</v>
      </c>
      <c r="R77" s="25"/>
      <c r="S77" s="24">
        <f t="shared" si="77"/>
        <v>55000.000000000007</v>
      </c>
      <c r="T77" s="24">
        <f t="shared" si="74"/>
        <v>66275</v>
      </c>
      <c r="U77" s="24">
        <f t="shared" si="75"/>
        <v>77550</v>
      </c>
    </row>
    <row r="78" spans="1:21" x14ac:dyDescent="0.25">
      <c r="A78" s="34" t="str">
        <f t="shared" si="76"/>
        <v>HRC6</v>
      </c>
      <c r="B78" s="34"/>
      <c r="C78" s="6">
        <f>IF(C77="-","-",IF(C77+1&gt;COUNTA('0. Control Panel'!$C$7:$C$16),"-",'2.1 Customer Benefit Output'!C77+1))</f>
        <v>6</v>
      </c>
      <c r="D78" s="16" t="str">
        <f>IF(C78="-","-",INDEX('0. Control Panel'!$B$6:$K$16,MATCH('2.1 Customer Benefit Output'!$C78,'0. Control Panel'!$B$6:$B$16,0),MATCH(D$7,'0. Control Panel'!$B$6:$K$6,0)))</f>
        <v>HR</v>
      </c>
      <c r="E78" s="6"/>
      <c r="G78" s="24">
        <f>IFERROR(-VLOOKUP($D78,'0. Control Panel'!$C$7:$F$16,4,FALSE)*(('2. Customer Benefit Input'!$F77+'2. Customer Benefit Input'!H77)*'2. Customer Benefit Input'!$L77)+(VLOOKUP($D78,'0. Control Panel'!$C$7:$F$16,4,FALSE)*('2. Customer Benefit Input'!$F77*'2. Customer Benefit Input'!$L77)),0)</f>
        <v>0</v>
      </c>
      <c r="H78" s="24">
        <f>IFERROR(-VLOOKUP($D78,'0. Control Panel'!$C$7:$F$16,4,FALSE)*(('2. Customer Benefit Input'!$F77+'2. Customer Benefit Input'!I77)*'2. Customer Benefit Input'!$L77)+(VLOOKUP($D78,'0. Control Panel'!$C$7:$F$16,4,FALSE)*('2. Customer Benefit Input'!$F77*'2. Customer Benefit Input'!$L77)),0)</f>
        <v>0</v>
      </c>
      <c r="I78" s="24">
        <f>IFERROR(-VLOOKUP($D78,'0. Control Panel'!$C$7:$F$16,4,FALSE)*(('2. Customer Benefit Input'!$F77+'2. Customer Benefit Input'!J77)*'2. Customer Benefit Input'!$L77)+(VLOOKUP($D78,'0. Control Panel'!$C$7:$F$16,4,FALSE)*('2. Customer Benefit Input'!$F77*'2. Customer Benefit Input'!$L77)),0)</f>
        <v>0</v>
      </c>
      <c r="K78" s="24">
        <f>IFERROR((VLOOKUP($D78,'0. Control Panel'!$C$7:$F$16,4,FALSE)*('2. Customer Benefit Input'!$F77+'2. Customer Benefit Input'!H77)*'2. Customer Benefit Input'!$L77)-(VLOOKUP($D78,'0. Control Panel'!$C$7:$F$16,4,FALSE)*('2. Customer Benefit Input'!$F77+'2. Customer Benefit Input'!H77)*'2. Customer Benefit Input'!N77),0)</f>
        <v>0</v>
      </c>
      <c r="L78" s="24">
        <f>IFERROR((VLOOKUP($D78,'0. Control Panel'!$C$7:$F$16,4,FALSE)*('2. Customer Benefit Input'!$F77+'2. Customer Benefit Input'!I77)*'2. Customer Benefit Input'!$L77)-(VLOOKUP($D78,'0. Control Panel'!$C$7:$F$16,4,FALSE)*('2. Customer Benefit Input'!$F77+'2. Customer Benefit Input'!I77)*'2. Customer Benefit Input'!O77),0)</f>
        <v>0</v>
      </c>
      <c r="M78" s="24">
        <f>IFERROR((VLOOKUP($D78,'0. Control Panel'!$C$7:$F$16,4,FALSE)*('2. Customer Benefit Input'!$F77+'2. Customer Benefit Input'!J77)*'2. Customer Benefit Input'!$L77)-(VLOOKUP($D78,'0. Control Panel'!$C$7:$F$16,4,FALSE)*('2. Customer Benefit Input'!$F77+'2. Customer Benefit Input'!J77)*'2. Customer Benefit Input'!P77),0)</f>
        <v>0</v>
      </c>
      <c r="N78" s="25"/>
      <c r="O78" s="24">
        <f>'2. Customer Benefit Input'!T77</f>
        <v>0</v>
      </c>
      <c r="P78" s="24">
        <f>'2. Customer Benefit Input'!U77</f>
        <v>0</v>
      </c>
      <c r="Q78" s="24">
        <f>'2. Customer Benefit Input'!V77</f>
        <v>0</v>
      </c>
      <c r="R78" s="25"/>
      <c r="S78" s="24">
        <f t="shared" si="77"/>
        <v>0</v>
      </c>
      <c r="T78" s="24">
        <f t="shared" si="74"/>
        <v>0</v>
      </c>
      <c r="U78" s="24">
        <f t="shared" si="75"/>
        <v>0</v>
      </c>
    </row>
    <row r="79" spans="1:21" x14ac:dyDescent="0.25">
      <c r="A79" s="34" t="str">
        <f t="shared" si="76"/>
        <v>FinanceC6</v>
      </c>
      <c r="B79" s="34"/>
      <c r="C79" s="6">
        <f>IF(C78="-","-",IF(C78+1&gt;COUNTA('0. Control Panel'!$C$7:$C$16),"-",'2.1 Customer Benefit Output'!C78+1))</f>
        <v>7</v>
      </c>
      <c r="D79" s="16" t="str">
        <f>IF(C79="-","-",INDEX('0. Control Panel'!$B$6:$K$16,MATCH('2.1 Customer Benefit Output'!$C79,'0. Control Panel'!$B$6:$B$16,0),MATCH(D$7,'0. Control Panel'!$B$6:$K$6,0)))</f>
        <v>Finance</v>
      </c>
      <c r="E79" s="6"/>
      <c r="G79" s="24">
        <f>IFERROR(-VLOOKUP($D79,'0. Control Panel'!$C$7:$F$16,4,FALSE)*(('2. Customer Benefit Input'!$F78+'2. Customer Benefit Input'!H78)*'2. Customer Benefit Input'!$L78)+(VLOOKUP($D79,'0. Control Panel'!$C$7:$F$16,4,FALSE)*('2. Customer Benefit Input'!$F78*'2. Customer Benefit Input'!$L78)),0)</f>
        <v>0</v>
      </c>
      <c r="H79" s="24">
        <f>IFERROR(-VLOOKUP($D79,'0. Control Panel'!$C$7:$F$16,4,FALSE)*(('2. Customer Benefit Input'!$F78+'2. Customer Benefit Input'!I78)*'2. Customer Benefit Input'!$L78)+(VLOOKUP($D79,'0. Control Panel'!$C$7:$F$16,4,FALSE)*('2. Customer Benefit Input'!$F78*'2. Customer Benefit Input'!$L78)),0)</f>
        <v>0</v>
      </c>
      <c r="I79" s="24">
        <f>IFERROR(-VLOOKUP($D79,'0. Control Panel'!$C$7:$F$16,4,FALSE)*(('2. Customer Benefit Input'!$F78+'2. Customer Benefit Input'!J78)*'2. Customer Benefit Input'!$L78)+(VLOOKUP($D79,'0. Control Panel'!$C$7:$F$16,4,FALSE)*('2. Customer Benefit Input'!$F78*'2. Customer Benefit Input'!$L78)),0)</f>
        <v>0</v>
      </c>
      <c r="K79" s="24">
        <f>IFERROR((VLOOKUP($D79,'0. Control Panel'!$C$7:$F$16,4,FALSE)*('2. Customer Benefit Input'!$F78+'2. Customer Benefit Input'!H78)*'2. Customer Benefit Input'!$L78)-(VLOOKUP($D79,'0. Control Panel'!$C$7:$F$16,4,FALSE)*('2. Customer Benefit Input'!$F78+'2. Customer Benefit Input'!H78)*'2. Customer Benefit Input'!N78),0)</f>
        <v>0</v>
      </c>
      <c r="L79" s="24">
        <f>IFERROR((VLOOKUP($D79,'0. Control Panel'!$C$7:$F$16,4,FALSE)*('2. Customer Benefit Input'!$F78+'2. Customer Benefit Input'!I78)*'2. Customer Benefit Input'!$L78)-(VLOOKUP($D79,'0. Control Panel'!$C$7:$F$16,4,FALSE)*('2. Customer Benefit Input'!$F78+'2. Customer Benefit Input'!I78)*'2. Customer Benefit Input'!O78),0)</f>
        <v>0</v>
      </c>
      <c r="M79" s="24">
        <f>IFERROR((VLOOKUP($D79,'0. Control Panel'!$C$7:$F$16,4,FALSE)*('2. Customer Benefit Input'!$F78+'2. Customer Benefit Input'!J78)*'2. Customer Benefit Input'!$L78)-(VLOOKUP($D79,'0. Control Panel'!$C$7:$F$16,4,FALSE)*('2. Customer Benefit Input'!$F78+'2. Customer Benefit Input'!J78)*'2. Customer Benefit Input'!P78),0)</f>
        <v>0</v>
      </c>
      <c r="N79" s="25"/>
      <c r="O79" s="24">
        <f>'2. Customer Benefit Input'!T78</f>
        <v>0</v>
      </c>
      <c r="P79" s="24">
        <f>'2. Customer Benefit Input'!U78</f>
        <v>0</v>
      </c>
      <c r="Q79" s="24">
        <f>'2. Customer Benefit Input'!V78</f>
        <v>0</v>
      </c>
      <c r="R79" s="25"/>
      <c r="S79" s="24">
        <f t="shared" si="77"/>
        <v>0</v>
      </c>
      <c r="T79" s="24">
        <f t="shared" si="74"/>
        <v>0</v>
      </c>
      <c r="U79" s="24">
        <f t="shared" si="75"/>
        <v>0</v>
      </c>
    </row>
    <row r="80" spans="1:21" x14ac:dyDescent="0.25">
      <c r="A80" s="34" t="str">
        <f t="shared" si="76"/>
        <v>Head OfficeC6</v>
      </c>
      <c r="B80" s="34"/>
      <c r="C80" s="6">
        <f>IF(C79="-","-",IF(C79+1&gt;COUNTA('0. Control Panel'!$C$7:$C$16),"-",'2.1 Customer Benefit Output'!C79+1))</f>
        <v>8</v>
      </c>
      <c r="D80" s="16" t="str">
        <f>IF(C80="-","-",INDEX('0. Control Panel'!$B$6:$K$16,MATCH('2.1 Customer Benefit Output'!$C80,'0. Control Panel'!$B$6:$B$16,0),MATCH(D$7,'0. Control Panel'!$B$6:$K$6,0)))</f>
        <v>Head Office</v>
      </c>
      <c r="E80" s="6"/>
      <c r="G80" s="24">
        <f>IFERROR(-VLOOKUP($D80,'0. Control Panel'!$C$7:$F$16,4,FALSE)*(('2. Customer Benefit Input'!$F79+'2. Customer Benefit Input'!H79)*'2. Customer Benefit Input'!$L79)+(VLOOKUP($D80,'0. Control Panel'!$C$7:$F$16,4,FALSE)*('2. Customer Benefit Input'!$F79*'2. Customer Benefit Input'!$L79)),0)</f>
        <v>0</v>
      </c>
      <c r="H80" s="24">
        <f>IFERROR(-VLOOKUP($D80,'0. Control Panel'!$C$7:$F$16,4,FALSE)*(('2. Customer Benefit Input'!$F79+'2. Customer Benefit Input'!I79)*'2. Customer Benefit Input'!$L79)+(VLOOKUP($D80,'0. Control Panel'!$C$7:$F$16,4,FALSE)*('2. Customer Benefit Input'!$F79*'2. Customer Benefit Input'!$L79)),0)</f>
        <v>0</v>
      </c>
      <c r="I80" s="24">
        <f>IFERROR(-VLOOKUP($D80,'0. Control Panel'!$C$7:$F$16,4,FALSE)*(('2. Customer Benefit Input'!$F79+'2. Customer Benefit Input'!J79)*'2. Customer Benefit Input'!$L79)+(VLOOKUP($D80,'0. Control Panel'!$C$7:$F$16,4,FALSE)*('2. Customer Benefit Input'!$F79*'2. Customer Benefit Input'!$L79)),0)</f>
        <v>0</v>
      </c>
      <c r="K80" s="24">
        <f>IFERROR((VLOOKUP($D80,'0. Control Panel'!$C$7:$F$16,4,FALSE)*('2. Customer Benefit Input'!$F79+'2. Customer Benefit Input'!H79)*'2. Customer Benefit Input'!$L79)-(VLOOKUP($D80,'0. Control Panel'!$C$7:$F$16,4,FALSE)*('2. Customer Benefit Input'!$F79+'2. Customer Benefit Input'!H79)*'2. Customer Benefit Input'!N79),0)</f>
        <v>0</v>
      </c>
      <c r="L80" s="24">
        <f>IFERROR((VLOOKUP($D80,'0. Control Panel'!$C$7:$F$16,4,FALSE)*('2. Customer Benefit Input'!$F79+'2. Customer Benefit Input'!I79)*'2. Customer Benefit Input'!$L79)-(VLOOKUP($D80,'0. Control Panel'!$C$7:$F$16,4,FALSE)*('2. Customer Benefit Input'!$F79+'2. Customer Benefit Input'!I79)*'2. Customer Benefit Input'!O79),0)</f>
        <v>0</v>
      </c>
      <c r="M80" s="24">
        <f>IFERROR((VLOOKUP($D80,'0. Control Panel'!$C$7:$F$16,4,FALSE)*('2. Customer Benefit Input'!$F79+'2. Customer Benefit Input'!J79)*'2. Customer Benefit Input'!$L79)-(VLOOKUP($D80,'0. Control Panel'!$C$7:$F$16,4,FALSE)*('2. Customer Benefit Input'!$F79+'2. Customer Benefit Input'!J79)*'2. Customer Benefit Input'!P79),0)</f>
        <v>0</v>
      </c>
      <c r="N80" s="25"/>
      <c r="O80" s="24">
        <f>'2. Customer Benefit Input'!T79</f>
        <v>0</v>
      </c>
      <c r="P80" s="24">
        <f>'2. Customer Benefit Input'!U79</f>
        <v>0</v>
      </c>
      <c r="Q80" s="24">
        <f>'2. Customer Benefit Input'!V79</f>
        <v>0</v>
      </c>
      <c r="R80" s="25"/>
      <c r="S80" s="24">
        <f t="shared" si="77"/>
        <v>0</v>
      </c>
      <c r="T80" s="24">
        <f t="shared" si="74"/>
        <v>0</v>
      </c>
      <c r="U80" s="24">
        <f t="shared" si="75"/>
        <v>0</v>
      </c>
    </row>
    <row r="81" spans="1:21" x14ac:dyDescent="0.25">
      <c r="A81" s="34" t="str">
        <f t="shared" si="76"/>
        <v>-C6</v>
      </c>
      <c r="B81" s="34"/>
      <c r="C81" s="6" t="str">
        <f>IF(C80="-","-",IF(C80+1&gt;COUNTA('0. Control Panel'!$C$7:$C$16),"-",'2.1 Customer Benefit Output'!C80+1))</f>
        <v>-</v>
      </c>
      <c r="D81" s="16" t="str">
        <f>IF(C81="-","-",INDEX('0. Control Panel'!$B$6:$K$16,MATCH('2.1 Customer Benefit Output'!$C81,'0. Control Panel'!$B$6:$B$16,0),MATCH(D$7,'0. Control Panel'!$B$6:$K$6,0)))</f>
        <v>-</v>
      </c>
      <c r="E81" s="6"/>
      <c r="G81" s="24">
        <f>IFERROR(-VLOOKUP($D81,'0. Control Panel'!$C$7:$F$16,4,FALSE)*(('2. Customer Benefit Input'!$F80+'2. Customer Benefit Input'!H80)*'2. Customer Benefit Input'!$L80)+(VLOOKUP($D81,'0. Control Panel'!$C$7:$F$16,4,FALSE)*('2. Customer Benefit Input'!$F80*'2. Customer Benefit Input'!$L80)),0)</f>
        <v>0</v>
      </c>
      <c r="H81" s="24">
        <f>IFERROR(-VLOOKUP($D81,'0. Control Panel'!$C$7:$F$16,4,FALSE)*(('2. Customer Benefit Input'!$F80+'2. Customer Benefit Input'!I80)*'2. Customer Benefit Input'!$L80)+(VLOOKUP($D81,'0. Control Panel'!$C$7:$F$16,4,FALSE)*('2. Customer Benefit Input'!$F80*'2. Customer Benefit Input'!$L80)),0)</f>
        <v>0</v>
      </c>
      <c r="I81" s="24">
        <f>IFERROR(-VLOOKUP($D81,'0. Control Panel'!$C$7:$F$16,4,FALSE)*(('2. Customer Benefit Input'!$F80+'2. Customer Benefit Input'!J80)*'2. Customer Benefit Input'!$L80)+(VLOOKUP($D81,'0. Control Panel'!$C$7:$F$16,4,FALSE)*('2. Customer Benefit Input'!$F80*'2. Customer Benefit Input'!$L80)),0)</f>
        <v>0</v>
      </c>
      <c r="K81" s="24">
        <f>IFERROR((VLOOKUP($D81,'0. Control Panel'!$C$7:$F$16,4,FALSE)*('2. Customer Benefit Input'!$F80+'2. Customer Benefit Input'!H80)*'2. Customer Benefit Input'!$L80)-(VLOOKUP($D81,'0. Control Panel'!$C$7:$F$16,4,FALSE)*('2. Customer Benefit Input'!$F80+'2. Customer Benefit Input'!H80)*'2. Customer Benefit Input'!N80),0)</f>
        <v>0</v>
      </c>
      <c r="L81" s="24">
        <f>IFERROR((VLOOKUP($D81,'0. Control Panel'!$C$7:$F$16,4,FALSE)*('2. Customer Benefit Input'!$F80+'2. Customer Benefit Input'!I80)*'2. Customer Benefit Input'!$L80)-(VLOOKUP($D81,'0. Control Panel'!$C$7:$F$16,4,FALSE)*('2. Customer Benefit Input'!$F80+'2. Customer Benefit Input'!I80)*'2. Customer Benefit Input'!O80),0)</f>
        <v>0</v>
      </c>
      <c r="M81" s="24">
        <f>IFERROR((VLOOKUP($D81,'0. Control Panel'!$C$7:$F$16,4,FALSE)*('2. Customer Benefit Input'!$F80+'2. Customer Benefit Input'!J80)*'2. Customer Benefit Input'!$L80)-(VLOOKUP($D81,'0. Control Panel'!$C$7:$F$16,4,FALSE)*('2. Customer Benefit Input'!$F80+'2. Customer Benefit Input'!J80)*'2. Customer Benefit Input'!P80),0)</f>
        <v>0</v>
      </c>
      <c r="N81" s="25"/>
      <c r="O81" s="24">
        <f>'2. Customer Benefit Input'!T80</f>
        <v>0</v>
      </c>
      <c r="P81" s="24">
        <f>'2. Customer Benefit Input'!U80</f>
        <v>0</v>
      </c>
      <c r="Q81" s="24">
        <f>'2. Customer Benefit Input'!V80</f>
        <v>0</v>
      </c>
      <c r="R81" s="25"/>
      <c r="S81" s="24">
        <f t="shared" si="77"/>
        <v>0</v>
      </c>
      <c r="T81" s="24">
        <f t="shared" si="74"/>
        <v>0</v>
      </c>
      <c r="U81" s="24">
        <f t="shared" si="75"/>
        <v>0</v>
      </c>
    </row>
    <row r="82" spans="1:21" x14ac:dyDescent="0.25">
      <c r="A82" s="34" t="str">
        <f t="shared" si="76"/>
        <v>-C6</v>
      </c>
      <c r="B82" s="34"/>
      <c r="C82" s="7" t="str">
        <f>IF(C81="-","-",IF(C81+1&gt;COUNTA('0. Control Panel'!$C$7:$C$16),"-",'2.1 Customer Benefit Output'!C81+1))</f>
        <v>-</v>
      </c>
      <c r="D82" s="17" t="str">
        <f>IF(C82="-","-",INDEX('0. Control Panel'!$B$6:$K$16,MATCH('2.1 Customer Benefit Output'!$C82,'0. Control Panel'!$B$6:$B$16,0),MATCH(D$7,'0. Control Panel'!$B$6:$K$6,0)))</f>
        <v>-</v>
      </c>
      <c r="E82" s="7"/>
      <c r="G82" s="24">
        <f>IFERROR(-VLOOKUP($D82,'0. Control Panel'!$C$7:$F$16,4,FALSE)*(('2. Customer Benefit Input'!$F81+'2. Customer Benefit Input'!H81)*'2. Customer Benefit Input'!$L81)+(VLOOKUP($D82,'0. Control Panel'!$C$7:$F$16,4,FALSE)*('2. Customer Benefit Input'!$F81*'2. Customer Benefit Input'!$L81)),0)</f>
        <v>0</v>
      </c>
      <c r="H82" s="24">
        <f>IFERROR(-VLOOKUP($D82,'0. Control Panel'!$C$7:$F$16,4,FALSE)*(('2. Customer Benefit Input'!$F81+'2. Customer Benefit Input'!I81)*'2. Customer Benefit Input'!$L81)+(VLOOKUP($D82,'0. Control Panel'!$C$7:$F$16,4,FALSE)*('2. Customer Benefit Input'!$F81*'2. Customer Benefit Input'!$L81)),0)</f>
        <v>0</v>
      </c>
      <c r="I82" s="24">
        <f>IFERROR(-VLOOKUP($D82,'0. Control Panel'!$C$7:$F$16,4,FALSE)*(('2. Customer Benefit Input'!$F81+'2. Customer Benefit Input'!J81)*'2. Customer Benefit Input'!$L81)+(VLOOKUP($D82,'0. Control Panel'!$C$7:$F$16,4,FALSE)*('2. Customer Benefit Input'!$F81*'2. Customer Benefit Input'!$L81)),0)</f>
        <v>0</v>
      </c>
      <c r="K82" s="24">
        <f>IFERROR((VLOOKUP($D82,'0. Control Panel'!$C$7:$F$16,4,FALSE)*('2. Customer Benefit Input'!$F81+'2. Customer Benefit Input'!H81)*'2. Customer Benefit Input'!$L81)-(VLOOKUP($D82,'0. Control Panel'!$C$7:$F$16,4,FALSE)*('2. Customer Benefit Input'!$F81+'2. Customer Benefit Input'!H81)*'2. Customer Benefit Input'!N81),0)</f>
        <v>0</v>
      </c>
      <c r="L82" s="24">
        <f>IFERROR((VLOOKUP($D82,'0. Control Panel'!$C$7:$F$16,4,FALSE)*('2. Customer Benefit Input'!$F81+'2. Customer Benefit Input'!I81)*'2. Customer Benefit Input'!$L81)-(VLOOKUP($D82,'0. Control Panel'!$C$7:$F$16,4,FALSE)*('2. Customer Benefit Input'!$F81+'2. Customer Benefit Input'!I81)*'2. Customer Benefit Input'!O81),0)</f>
        <v>0</v>
      </c>
      <c r="M82" s="24">
        <f>IFERROR((VLOOKUP($D82,'0. Control Panel'!$C$7:$F$16,4,FALSE)*('2. Customer Benefit Input'!$F81+'2. Customer Benefit Input'!J81)*'2. Customer Benefit Input'!$L81)-(VLOOKUP($D82,'0. Control Panel'!$C$7:$F$16,4,FALSE)*('2. Customer Benefit Input'!$F81+'2. Customer Benefit Input'!J81)*'2. Customer Benefit Input'!P81),0)</f>
        <v>0</v>
      </c>
      <c r="N82" s="25"/>
      <c r="O82" s="24">
        <f>'2. Customer Benefit Input'!T81</f>
        <v>0</v>
      </c>
      <c r="P82" s="24">
        <f>'2. Customer Benefit Input'!U81</f>
        <v>0</v>
      </c>
      <c r="Q82" s="24">
        <f>'2. Customer Benefit Input'!V81</f>
        <v>0</v>
      </c>
      <c r="R82" s="25"/>
      <c r="S82" s="24">
        <f t="shared" si="77"/>
        <v>0</v>
      </c>
      <c r="T82" s="24">
        <f t="shared" si="74"/>
        <v>0</v>
      </c>
      <c r="U82" s="24">
        <f t="shared" si="75"/>
        <v>0</v>
      </c>
    </row>
    <row r="83" spans="1:21" ht="16.5" thickBot="1" x14ac:dyDescent="0.3">
      <c r="A83" s="34" t="str">
        <f>D83&amp;$C$72</f>
        <v>All Departments/FunctionsC6</v>
      </c>
      <c r="B83" s="34"/>
      <c r="C83" s="23"/>
      <c r="D83" s="27" t="str">
        <f>D70</f>
        <v>All Departments/Functions</v>
      </c>
      <c r="E83" s="23"/>
      <c r="F83" s="23"/>
      <c r="G83" s="28">
        <f>SUM(G73:G82)</f>
        <v>55000.000000000007</v>
      </c>
      <c r="H83" s="28">
        <f t="shared" ref="H83" si="78">SUM(H73:H82)</f>
        <v>55000.000000000007</v>
      </c>
      <c r="I83" s="28">
        <f t="shared" ref="I83" si="79">SUM(I73:I82)</f>
        <v>55000.000000000007</v>
      </c>
      <c r="J83" s="23"/>
      <c r="K83" s="28">
        <f>SUM(K73:K82)</f>
        <v>0</v>
      </c>
      <c r="L83" s="28">
        <f t="shared" ref="L83" si="80">SUM(L73:L82)</f>
        <v>11274.999999999993</v>
      </c>
      <c r="M83" s="28">
        <f t="shared" ref="M83" si="81">SUM(M73:M82)</f>
        <v>22550</v>
      </c>
      <c r="N83" s="29"/>
      <c r="O83" s="28">
        <f t="shared" ref="O83" si="82">SUM(O73:O82)</f>
        <v>0</v>
      </c>
      <c r="P83" s="28">
        <f t="shared" ref="P83" si="83">SUM(P73:P82)</f>
        <v>0</v>
      </c>
      <c r="Q83" s="28">
        <f t="shared" ref="Q83" si="84">SUM(Q73:Q82)</f>
        <v>0</v>
      </c>
      <c r="R83" s="29"/>
      <c r="S83" s="28">
        <f t="shared" ref="S83" si="85">SUM(S73:S82)</f>
        <v>55000.000000000007</v>
      </c>
      <c r="T83" s="28">
        <f t="shared" ref="T83" si="86">SUM(T73:T82)</f>
        <v>66275</v>
      </c>
      <c r="U83" s="28">
        <f t="shared" ref="U83" si="87">SUM(U73:U82)</f>
        <v>77550</v>
      </c>
    </row>
    <row r="84" spans="1:21" ht="16.5" thickTop="1" x14ac:dyDescent="0.25">
      <c r="A84" s="34"/>
      <c r="B84" s="34"/>
      <c r="G84" s="26"/>
      <c r="H84" s="26"/>
      <c r="I84" s="26"/>
      <c r="K84" s="26"/>
      <c r="L84" s="26"/>
      <c r="M84" s="26"/>
      <c r="N84" s="26"/>
      <c r="O84" s="26"/>
      <c r="P84" s="26"/>
      <c r="Q84" s="26"/>
      <c r="R84" s="26"/>
      <c r="S84" s="26"/>
      <c r="T84" s="26"/>
      <c r="U84" s="26"/>
    </row>
    <row r="85" spans="1:21" ht="15.95" customHeight="1" x14ac:dyDescent="0.25">
      <c r="A85" s="34"/>
      <c r="B85" s="34"/>
      <c r="C85" s="12" t="s">
        <v>18</v>
      </c>
      <c r="D85" s="30" t="str">
        <f>IF(INDEX('0. Control Panel'!$B$19:$C$29,MATCH('2.1 Customer Benefit Output'!$C85,'0. Control Panel'!$B$19:$B$29,0),2)="","n/a",INDEX('0. Control Panel'!$B$19:$C$29,MATCH('2.1 Customer Benefit Output'!$C85,'0. Control Panel'!$B$19:$B$29,0),2))</f>
        <v>Economies of Scale (M&amp;A)</v>
      </c>
      <c r="F85"/>
      <c r="G85" s="26"/>
      <c r="H85" s="26"/>
      <c r="I85" s="26"/>
      <c r="J85"/>
      <c r="K85" s="26"/>
      <c r="L85" s="26"/>
      <c r="M85" s="26"/>
      <c r="N85" s="26"/>
      <c r="O85" s="26"/>
      <c r="P85" s="26"/>
      <c r="Q85" s="26"/>
      <c r="R85" s="26"/>
      <c r="S85" s="26"/>
      <c r="T85" s="26"/>
      <c r="U85" s="26"/>
    </row>
    <row r="86" spans="1:21" x14ac:dyDescent="0.25">
      <c r="A86" s="34" t="str">
        <f>D86&amp;$C$85</f>
        <v>ITC7</v>
      </c>
      <c r="B86" s="34"/>
      <c r="C86" s="5">
        <v>1</v>
      </c>
      <c r="D86" s="15" t="str">
        <f>IF(C86="-","-",INDEX('0. Control Panel'!$B$6:$K$16,MATCH('2.1 Customer Benefit Output'!$C86,'0. Control Panel'!$B$6:$B$16,0),MATCH(D$7,'0. Control Panel'!$B$6:$K$6,0)))</f>
        <v>IT</v>
      </c>
      <c r="E86" s="5"/>
      <c r="G86" s="24">
        <f>IFERROR(-VLOOKUP($D86,'0. Control Panel'!$C$7:$F$16,4,FALSE)*(('2. Customer Benefit Input'!$F85+'2. Customer Benefit Input'!H85)*'2. Customer Benefit Input'!$L85)+(VLOOKUP($D86,'0. Control Panel'!$C$7:$F$16,4,FALSE)*('2. Customer Benefit Input'!$F85*'2. Customer Benefit Input'!$L85)),0)</f>
        <v>0</v>
      </c>
      <c r="H86" s="24">
        <f>IFERROR(-VLOOKUP($D86,'0. Control Panel'!$C$7:$F$16,4,FALSE)*(('2. Customer Benefit Input'!$F85+'2. Customer Benefit Input'!I85)*'2. Customer Benefit Input'!$L85)+(VLOOKUP($D86,'0. Control Panel'!$C$7:$F$16,4,FALSE)*('2. Customer Benefit Input'!$F85*'2. Customer Benefit Input'!$L85)),0)</f>
        <v>0</v>
      </c>
      <c r="I86" s="24">
        <f>IFERROR(-VLOOKUP($D86,'0. Control Panel'!$C$7:$F$16,4,FALSE)*(('2. Customer Benefit Input'!$F85+'2. Customer Benefit Input'!J85)*'2. Customer Benefit Input'!$L85)+(VLOOKUP($D86,'0. Control Panel'!$C$7:$F$16,4,FALSE)*('2. Customer Benefit Input'!$F85*'2. Customer Benefit Input'!$L85)),0)</f>
        <v>0</v>
      </c>
      <c r="K86" s="24">
        <f>IFERROR((VLOOKUP($D86,'0. Control Panel'!$C$7:$F$16,4,FALSE)*('2. Customer Benefit Input'!$F85+'2. Customer Benefit Input'!H85)*'2. Customer Benefit Input'!$L85)-(VLOOKUP($D86,'0. Control Panel'!$C$7:$F$16,4,FALSE)*('2. Customer Benefit Input'!$F85+'2. Customer Benefit Input'!H85)*'2. Customer Benefit Input'!N85),0)</f>
        <v>0</v>
      </c>
      <c r="L86" s="24">
        <f>IFERROR((VLOOKUP($D86,'0. Control Panel'!$C$7:$F$16,4,FALSE)*('2. Customer Benefit Input'!$F85+'2. Customer Benefit Input'!I85)*'2. Customer Benefit Input'!$L85)-(VLOOKUP($D86,'0. Control Panel'!$C$7:$F$16,4,FALSE)*('2. Customer Benefit Input'!$F85+'2. Customer Benefit Input'!I85)*'2. Customer Benefit Input'!O85),0)</f>
        <v>0</v>
      </c>
      <c r="M86" s="24">
        <f>IFERROR((VLOOKUP($D86,'0. Control Panel'!$C$7:$F$16,4,FALSE)*('2. Customer Benefit Input'!$F85+'2. Customer Benefit Input'!J85)*'2. Customer Benefit Input'!$L85)-(VLOOKUP($D86,'0. Control Panel'!$C$7:$F$16,4,FALSE)*('2. Customer Benefit Input'!$F85+'2. Customer Benefit Input'!J85)*'2. Customer Benefit Input'!P85),0)</f>
        <v>0</v>
      </c>
      <c r="N86" s="25"/>
      <c r="O86" s="24">
        <f>'2. Customer Benefit Input'!T85</f>
        <v>0</v>
      </c>
      <c r="P86" s="24">
        <f>'2. Customer Benefit Input'!U85</f>
        <v>0</v>
      </c>
      <c r="Q86" s="24">
        <f>'2. Customer Benefit Input'!V85</f>
        <v>0</v>
      </c>
      <c r="R86" s="25"/>
      <c r="S86" s="24">
        <f>SUM(G86,K86,O86)</f>
        <v>0</v>
      </c>
      <c r="T86" s="24">
        <f t="shared" ref="T86:T95" si="88">SUM(H86,L86,P86)</f>
        <v>0</v>
      </c>
      <c r="U86" s="24">
        <f t="shared" ref="U86:U95" si="89">SUM(I86,M86,Q86)</f>
        <v>0</v>
      </c>
    </row>
    <row r="87" spans="1:21" x14ac:dyDescent="0.25">
      <c r="A87" s="34" t="str">
        <f t="shared" ref="A87:A95" si="90">D87&amp;$C$85</f>
        <v>SalesC7</v>
      </c>
      <c r="B87" s="34"/>
      <c r="C87" s="6">
        <f>IF(C86="-","-",IF(C86+1&gt;COUNTA('0. Control Panel'!$C$7:$C$16),"-",'2.1 Customer Benefit Output'!C86+1))</f>
        <v>2</v>
      </c>
      <c r="D87" s="16" t="str">
        <f>IF(C87="-","-",INDEX('0. Control Panel'!$B$6:$K$16,MATCH('2.1 Customer Benefit Output'!$C87,'0. Control Panel'!$B$6:$B$16,0),MATCH(D$7,'0. Control Panel'!$B$6:$K$6,0)))</f>
        <v>Sales</v>
      </c>
      <c r="E87" s="6"/>
      <c r="G87" s="24">
        <f>IFERROR(-VLOOKUP($D87,'0. Control Panel'!$C$7:$F$16,4,FALSE)*(('2. Customer Benefit Input'!$F86+'2. Customer Benefit Input'!H86)*'2. Customer Benefit Input'!$L86)+(VLOOKUP($D87,'0. Control Panel'!$C$7:$F$16,4,FALSE)*('2. Customer Benefit Input'!$F86*'2. Customer Benefit Input'!$L86)),0)</f>
        <v>0</v>
      </c>
      <c r="H87" s="24">
        <f>IFERROR(-VLOOKUP($D87,'0. Control Panel'!$C$7:$F$16,4,FALSE)*(('2. Customer Benefit Input'!$F86+'2. Customer Benefit Input'!I86)*'2. Customer Benefit Input'!$L86)+(VLOOKUP($D87,'0. Control Panel'!$C$7:$F$16,4,FALSE)*('2. Customer Benefit Input'!$F86*'2. Customer Benefit Input'!$L86)),0)</f>
        <v>0</v>
      </c>
      <c r="I87" s="24">
        <f>IFERROR(-VLOOKUP($D87,'0. Control Panel'!$C$7:$F$16,4,FALSE)*(('2. Customer Benefit Input'!$F86+'2. Customer Benefit Input'!J86)*'2. Customer Benefit Input'!$L86)+(VLOOKUP($D87,'0. Control Panel'!$C$7:$F$16,4,FALSE)*('2. Customer Benefit Input'!$F86*'2. Customer Benefit Input'!$L86)),0)</f>
        <v>0</v>
      </c>
      <c r="K87" s="24">
        <f>IFERROR((VLOOKUP($D87,'0. Control Panel'!$C$7:$F$16,4,FALSE)*('2. Customer Benefit Input'!$F86+'2. Customer Benefit Input'!H86)*'2. Customer Benefit Input'!$L86)-(VLOOKUP($D87,'0. Control Panel'!$C$7:$F$16,4,FALSE)*('2. Customer Benefit Input'!$F86+'2. Customer Benefit Input'!H86)*'2. Customer Benefit Input'!N86),0)</f>
        <v>0</v>
      </c>
      <c r="L87" s="24">
        <f>IFERROR((VLOOKUP($D87,'0. Control Panel'!$C$7:$F$16,4,FALSE)*('2. Customer Benefit Input'!$F86+'2. Customer Benefit Input'!I86)*'2. Customer Benefit Input'!$L86)-(VLOOKUP($D87,'0. Control Panel'!$C$7:$F$16,4,FALSE)*('2. Customer Benefit Input'!$F86+'2. Customer Benefit Input'!I86)*'2. Customer Benefit Input'!O86),0)</f>
        <v>0</v>
      </c>
      <c r="M87" s="24">
        <f>IFERROR((VLOOKUP($D87,'0. Control Panel'!$C$7:$F$16,4,FALSE)*('2. Customer Benefit Input'!$F86+'2. Customer Benefit Input'!J86)*'2. Customer Benefit Input'!$L86)-(VLOOKUP($D87,'0. Control Panel'!$C$7:$F$16,4,FALSE)*('2. Customer Benefit Input'!$F86+'2. Customer Benefit Input'!J86)*'2. Customer Benefit Input'!P86),0)</f>
        <v>0</v>
      </c>
      <c r="N87" s="25"/>
      <c r="O87" s="24">
        <f>'2. Customer Benefit Input'!T86</f>
        <v>0</v>
      </c>
      <c r="P87" s="24">
        <f>'2. Customer Benefit Input'!U86</f>
        <v>0</v>
      </c>
      <c r="Q87" s="24">
        <f>'2. Customer Benefit Input'!V86</f>
        <v>0</v>
      </c>
      <c r="R87" s="25"/>
      <c r="S87" s="24">
        <f t="shared" ref="S87:S95" si="91">SUM(G87,K87,O87)</f>
        <v>0</v>
      </c>
      <c r="T87" s="24">
        <f t="shared" si="88"/>
        <v>0</v>
      </c>
      <c r="U87" s="24">
        <f t="shared" si="89"/>
        <v>0</v>
      </c>
    </row>
    <row r="88" spans="1:21" x14ac:dyDescent="0.25">
      <c r="A88" s="34" t="str">
        <f t="shared" si="90"/>
        <v>Product AC7</v>
      </c>
      <c r="B88" s="34"/>
      <c r="C88" s="6">
        <f>IF(C87="-","-",IF(C87+1&gt;COUNTA('0. Control Panel'!$C$7:$C$16),"-",'2.1 Customer Benefit Output'!C87+1))</f>
        <v>3</v>
      </c>
      <c r="D88" s="16" t="str">
        <f>IF(C88="-","-",INDEX('0. Control Panel'!$B$6:$K$16,MATCH('2.1 Customer Benefit Output'!$C88,'0. Control Panel'!$B$6:$B$16,0),MATCH(D$7,'0. Control Panel'!$B$6:$K$6,0)))</f>
        <v>Product A</v>
      </c>
      <c r="E88" s="6"/>
      <c r="G88" s="24">
        <f>IFERROR(-VLOOKUP($D88,'0. Control Panel'!$C$7:$F$16,4,FALSE)*(('2. Customer Benefit Input'!$F87+'2. Customer Benefit Input'!H87)*'2. Customer Benefit Input'!$L87)+(VLOOKUP($D88,'0. Control Panel'!$C$7:$F$16,4,FALSE)*('2. Customer Benefit Input'!$F87*'2. Customer Benefit Input'!$L87)),0)</f>
        <v>0</v>
      </c>
      <c r="H88" s="24">
        <f>IFERROR(-VLOOKUP($D88,'0. Control Panel'!$C$7:$F$16,4,FALSE)*(('2. Customer Benefit Input'!$F87+'2. Customer Benefit Input'!I87)*'2. Customer Benefit Input'!$L87)+(VLOOKUP($D88,'0. Control Panel'!$C$7:$F$16,4,FALSE)*('2. Customer Benefit Input'!$F87*'2. Customer Benefit Input'!$L87)),0)</f>
        <v>0</v>
      </c>
      <c r="I88" s="24">
        <f>IFERROR(-VLOOKUP($D88,'0. Control Panel'!$C$7:$F$16,4,FALSE)*(('2. Customer Benefit Input'!$F87+'2. Customer Benefit Input'!J87)*'2. Customer Benefit Input'!$L87)+(VLOOKUP($D88,'0. Control Panel'!$C$7:$F$16,4,FALSE)*('2. Customer Benefit Input'!$F87*'2. Customer Benefit Input'!$L87)),0)</f>
        <v>0</v>
      </c>
      <c r="K88" s="24">
        <f>IFERROR((VLOOKUP($D88,'0. Control Panel'!$C$7:$F$16,4,FALSE)*('2. Customer Benefit Input'!$F87+'2. Customer Benefit Input'!H87)*'2. Customer Benefit Input'!$L87)-(VLOOKUP($D88,'0. Control Panel'!$C$7:$F$16,4,FALSE)*('2. Customer Benefit Input'!$F87+'2. Customer Benefit Input'!H87)*'2. Customer Benefit Input'!N87),0)</f>
        <v>0</v>
      </c>
      <c r="L88" s="24">
        <f>IFERROR((VLOOKUP($D88,'0. Control Panel'!$C$7:$F$16,4,FALSE)*('2. Customer Benefit Input'!$F87+'2. Customer Benefit Input'!I87)*'2. Customer Benefit Input'!$L87)-(VLOOKUP($D88,'0. Control Panel'!$C$7:$F$16,4,FALSE)*('2. Customer Benefit Input'!$F87+'2. Customer Benefit Input'!I87)*'2. Customer Benefit Input'!O87),0)</f>
        <v>0</v>
      </c>
      <c r="M88" s="24">
        <f>IFERROR((VLOOKUP($D88,'0. Control Panel'!$C$7:$F$16,4,FALSE)*('2. Customer Benefit Input'!$F87+'2. Customer Benefit Input'!J87)*'2. Customer Benefit Input'!$L87)-(VLOOKUP($D88,'0. Control Panel'!$C$7:$F$16,4,FALSE)*('2. Customer Benefit Input'!$F87+'2. Customer Benefit Input'!J87)*'2. Customer Benefit Input'!P87),0)</f>
        <v>0</v>
      </c>
      <c r="N88" s="25"/>
      <c r="O88" s="24">
        <f>'2. Customer Benefit Input'!T87</f>
        <v>0</v>
      </c>
      <c r="P88" s="24">
        <f>'2. Customer Benefit Input'!U87</f>
        <v>0</v>
      </c>
      <c r="Q88" s="24">
        <f>'2. Customer Benefit Input'!V87</f>
        <v>0</v>
      </c>
      <c r="R88" s="25"/>
      <c r="S88" s="24">
        <f t="shared" si="91"/>
        <v>0</v>
      </c>
      <c r="T88" s="24">
        <f t="shared" si="88"/>
        <v>0</v>
      </c>
      <c r="U88" s="24">
        <f t="shared" si="89"/>
        <v>0</v>
      </c>
    </row>
    <row r="89" spans="1:21" x14ac:dyDescent="0.25">
      <c r="A89" s="34" t="str">
        <f t="shared" si="90"/>
        <v>Product BC7</v>
      </c>
      <c r="B89" s="34"/>
      <c r="C89" s="6">
        <f>IF(C88="-","-",IF(C88+1&gt;COUNTA('0. Control Panel'!$C$7:$C$16),"-",'2.1 Customer Benefit Output'!C88+1))</f>
        <v>4</v>
      </c>
      <c r="D89" s="16" t="str">
        <f>IF(C89="-","-",INDEX('0. Control Panel'!$B$6:$K$16,MATCH('2.1 Customer Benefit Output'!$C89,'0. Control Panel'!$B$6:$B$16,0),MATCH(D$7,'0. Control Panel'!$B$6:$K$6,0)))</f>
        <v>Product B</v>
      </c>
      <c r="E89" s="6"/>
      <c r="G89" s="24">
        <f>IFERROR(-VLOOKUP($D89,'0. Control Panel'!$C$7:$F$16,4,FALSE)*(('2. Customer Benefit Input'!$F88+'2. Customer Benefit Input'!H88)*'2. Customer Benefit Input'!$L88)+(VLOOKUP($D89,'0. Control Panel'!$C$7:$F$16,4,FALSE)*('2. Customer Benefit Input'!$F88*'2. Customer Benefit Input'!$L88)),0)</f>
        <v>320000</v>
      </c>
      <c r="H89" s="24">
        <f>IFERROR(-VLOOKUP($D89,'0. Control Panel'!$C$7:$F$16,4,FALSE)*(('2. Customer Benefit Input'!$F88+'2. Customer Benefit Input'!I88)*'2. Customer Benefit Input'!$L88)+(VLOOKUP($D89,'0. Control Panel'!$C$7:$F$16,4,FALSE)*('2. Customer Benefit Input'!$F88*'2. Customer Benefit Input'!$L88)),0)</f>
        <v>640000</v>
      </c>
      <c r="I89" s="24">
        <f>IFERROR(-VLOOKUP($D89,'0. Control Panel'!$C$7:$F$16,4,FALSE)*(('2. Customer Benefit Input'!$F88+'2. Customer Benefit Input'!J88)*'2. Customer Benefit Input'!$L88)+(VLOOKUP($D89,'0. Control Panel'!$C$7:$F$16,4,FALSE)*('2. Customer Benefit Input'!$F88*'2. Customer Benefit Input'!$L88)),0)</f>
        <v>960000</v>
      </c>
      <c r="K89" s="24">
        <f>IFERROR((VLOOKUP($D89,'0. Control Panel'!$C$7:$F$16,4,FALSE)*('2. Customer Benefit Input'!$F88+'2. Customer Benefit Input'!H88)*'2. Customer Benefit Input'!$L88)-(VLOOKUP($D89,'0. Control Panel'!$C$7:$F$16,4,FALSE)*('2. Customer Benefit Input'!$F88+'2. Customer Benefit Input'!H88)*'2. Customer Benefit Input'!N88),0)</f>
        <v>0</v>
      </c>
      <c r="L89" s="24">
        <f>IFERROR((VLOOKUP($D89,'0. Control Panel'!$C$7:$F$16,4,FALSE)*('2. Customer Benefit Input'!$F88+'2. Customer Benefit Input'!I88)*'2. Customer Benefit Input'!$L88)-(VLOOKUP($D89,'0. Control Panel'!$C$7:$F$16,4,FALSE)*('2. Customer Benefit Input'!$F88+'2. Customer Benefit Input'!I88)*'2. Customer Benefit Input'!O88),0)</f>
        <v>0</v>
      </c>
      <c r="M89" s="24">
        <f>IFERROR((VLOOKUP($D89,'0. Control Panel'!$C$7:$F$16,4,FALSE)*('2. Customer Benefit Input'!$F88+'2. Customer Benefit Input'!J88)*'2. Customer Benefit Input'!$L88)-(VLOOKUP($D89,'0. Control Panel'!$C$7:$F$16,4,FALSE)*('2. Customer Benefit Input'!$F88+'2. Customer Benefit Input'!J88)*'2. Customer Benefit Input'!P88),0)</f>
        <v>0</v>
      </c>
      <c r="N89" s="25"/>
      <c r="O89" s="24">
        <f>'2. Customer Benefit Input'!T88</f>
        <v>0</v>
      </c>
      <c r="P89" s="24">
        <f>'2. Customer Benefit Input'!U88</f>
        <v>0</v>
      </c>
      <c r="Q89" s="24">
        <f>'2. Customer Benefit Input'!V88</f>
        <v>0</v>
      </c>
      <c r="R89" s="25"/>
      <c r="S89" s="24">
        <f t="shared" si="91"/>
        <v>320000</v>
      </c>
      <c r="T89" s="24">
        <f t="shared" si="88"/>
        <v>640000</v>
      </c>
      <c r="U89" s="24">
        <f t="shared" si="89"/>
        <v>960000</v>
      </c>
    </row>
    <row r="90" spans="1:21" x14ac:dyDescent="0.25">
      <c r="A90" s="34" t="str">
        <f t="shared" si="90"/>
        <v>R&amp;DC7</v>
      </c>
      <c r="B90" s="34"/>
      <c r="C90" s="6">
        <f>IF(C89="-","-",IF(C89+1&gt;COUNTA('0. Control Panel'!$C$7:$C$16),"-",'2.1 Customer Benefit Output'!C89+1))</f>
        <v>5</v>
      </c>
      <c r="D90" s="16" t="str">
        <f>IF(C90="-","-",INDEX('0. Control Panel'!$B$6:$K$16,MATCH('2.1 Customer Benefit Output'!$C90,'0. Control Panel'!$B$6:$B$16,0),MATCH(D$7,'0. Control Panel'!$B$6:$K$6,0)))</f>
        <v>R&amp;D</v>
      </c>
      <c r="E90" s="6"/>
      <c r="G90" s="24">
        <f>IFERROR(-VLOOKUP($D90,'0. Control Panel'!$C$7:$F$16,4,FALSE)*(('2. Customer Benefit Input'!$F89+'2. Customer Benefit Input'!H89)*'2. Customer Benefit Input'!$L89)+(VLOOKUP($D90,'0. Control Panel'!$C$7:$F$16,4,FALSE)*('2. Customer Benefit Input'!$F89*'2. Customer Benefit Input'!$L89)),0)</f>
        <v>0</v>
      </c>
      <c r="H90" s="24">
        <f>IFERROR(-VLOOKUP($D90,'0. Control Panel'!$C$7:$F$16,4,FALSE)*(('2. Customer Benefit Input'!$F89+'2. Customer Benefit Input'!I89)*'2. Customer Benefit Input'!$L89)+(VLOOKUP($D90,'0. Control Panel'!$C$7:$F$16,4,FALSE)*('2. Customer Benefit Input'!$F89*'2. Customer Benefit Input'!$L89)),0)</f>
        <v>0</v>
      </c>
      <c r="I90" s="24">
        <f>IFERROR(-VLOOKUP($D90,'0. Control Panel'!$C$7:$F$16,4,FALSE)*(('2. Customer Benefit Input'!$F89+'2. Customer Benefit Input'!J89)*'2. Customer Benefit Input'!$L89)+(VLOOKUP($D90,'0. Control Panel'!$C$7:$F$16,4,FALSE)*('2. Customer Benefit Input'!$F89*'2. Customer Benefit Input'!$L89)),0)</f>
        <v>0</v>
      </c>
      <c r="K90" s="24">
        <f>IFERROR((VLOOKUP($D90,'0. Control Panel'!$C$7:$F$16,4,FALSE)*('2. Customer Benefit Input'!$F89+'2. Customer Benefit Input'!H89)*'2. Customer Benefit Input'!$L89)-(VLOOKUP($D90,'0. Control Panel'!$C$7:$F$16,4,FALSE)*('2. Customer Benefit Input'!$F89+'2. Customer Benefit Input'!H89)*'2. Customer Benefit Input'!N89),0)</f>
        <v>0</v>
      </c>
      <c r="L90" s="24">
        <f>IFERROR((VLOOKUP($D90,'0. Control Panel'!$C$7:$F$16,4,FALSE)*('2. Customer Benefit Input'!$F89+'2. Customer Benefit Input'!I89)*'2. Customer Benefit Input'!$L89)-(VLOOKUP($D90,'0. Control Panel'!$C$7:$F$16,4,FALSE)*('2. Customer Benefit Input'!$F89+'2. Customer Benefit Input'!I89)*'2. Customer Benefit Input'!O89),0)</f>
        <v>0</v>
      </c>
      <c r="M90" s="24">
        <f>IFERROR((VLOOKUP($D90,'0. Control Panel'!$C$7:$F$16,4,FALSE)*('2. Customer Benefit Input'!$F89+'2. Customer Benefit Input'!J89)*'2. Customer Benefit Input'!$L89)-(VLOOKUP($D90,'0. Control Panel'!$C$7:$F$16,4,FALSE)*('2. Customer Benefit Input'!$F89+'2. Customer Benefit Input'!J89)*'2. Customer Benefit Input'!P89),0)</f>
        <v>0</v>
      </c>
      <c r="N90" s="25"/>
      <c r="O90" s="24">
        <f>'2. Customer Benefit Input'!T89</f>
        <v>0</v>
      </c>
      <c r="P90" s="24">
        <f>'2. Customer Benefit Input'!U89</f>
        <v>0</v>
      </c>
      <c r="Q90" s="24">
        <f>'2. Customer Benefit Input'!V89</f>
        <v>0</v>
      </c>
      <c r="R90" s="25"/>
      <c r="S90" s="24">
        <f t="shared" si="91"/>
        <v>0</v>
      </c>
      <c r="T90" s="24">
        <f t="shared" si="88"/>
        <v>0</v>
      </c>
      <c r="U90" s="24">
        <f t="shared" si="89"/>
        <v>0</v>
      </c>
    </row>
    <row r="91" spans="1:21" x14ac:dyDescent="0.25">
      <c r="A91" s="34" t="str">
        <f t="shared" si="90"/>
        <v>HRC7</v>
      </c>
      <c r="B91" s="34"/>
      <c r="C91" s="6">
        <f>IF(C90="-","-",IF(C90+1&gt;COUNTA('0. Control Panel'!$C$7:$C$16),"-",'2.1 Customer Benefit Output'!C90+1))</f>
        <v>6</v>
      </c>
      <c r="D91" s="16" t="str">
        <f>IF(C91="-","-",INDEX('0. Control Panel'!$B$6:$K$16,MATCH('2.1 Customer Benefit Output'!$C91,'0. Control Panel'!$B$6:$B$16,0),MATCH(D$7,'0. Control Panel'!$B$6:$K$6,0)))</f>
        <v>HR</v>
      </c>
      <c r="E91" s="6"/>
      <c r="G91" s="24">
        <f>IFERROR(-VLOOKUP($D91,'0. Control Panel'!$C$7:$F$16,4,FALSE)*(('2. Customer Benefit Input'!$F90+'2. Customer Benefit Input'!H90)*'2. Customer Benefit Input'!$L90)+(VLOOKUP($D91,'0. Control Panel'!$C$7:$F$16,4,FALSE)*('2. Customer Benefit Input'!$F90*'2. Customer Benefit Input'!$L90)),0)</f>
        <v>24500</v>
      </c>
      <c r="H91" s="24">
        <f>IFERROR(-VLOOKUP($D91,'0. Control Panel'!$C$7:$F$16,4,FALSE)*(('2. Customer Benefit Input'!$F90+'2. Customer Benefit Input'!I90)*'2. Customer Benefit Input'!$L90)+(VLOOKUP($D91,'0. Control Panel'!$C$7:$F$16,4,FALSE)*('2. Customer Benefit Input'!$F90*'2. Customer Benefit Input'!$L90)),0)</f>
        <v>49000</v>
      </c>
      <c r="I91" s="24">
        <f>IFERROR(-VLOOKUP($D91,'0. Control Panel'!$C$7:$F$16,4,FALSE)*(('2. Customer Benefit Input'!$F90+'2. Customer Benefit Input'!J90)*'2. Customer Benefit Input'!$L90)+(VLOOKUP($D91,'0. Control Panel'!$C$7:$F$16,4,FALSE)*('2. Customer Benefit Input'!$F90*'2. Customer Benefit Input'!$L90)),0)</f>
        <v>73500</v>
      </c>
      <c r="K91" s="24">
        <f>IFERROR((VLOOKUP($D91,'0. Control Panel'!$C$7:$F$16,4,FALSE)*('2. Customer Benefit Input'!$F90+'2. Customer Benefit Input'!H90)*'2. Customer Benefit Input'!$L90)-(VLOOKUP($D91,'0. Control Panel'!$C$7:$F$16,4,FALSE)*('2. Customer Benefit Input'!$F90+'2. Customer Benefit Input'!H90)*'2. Customer Benefit Input'!N90),0)</f>
        <v>0</v>
      </c>
      <c r="L91" s="24">
        <f>IFERROR((VLOOKUP($D91,'0. Control Panel'!$C$7:$F$16,4,FALSE)*('2. Customer Benefit Input'!$F90+'2. Customer Benefit Input'!I90)*'2. Customer Benefit Input'!$L90)-(VLOOKUP($D91,'0. Control Panel'!$C$7:$F$16,4,FALSE)*('2. Customer Benefit Input'!$F90+'2. Customer Benefit Input'!I90)*'2. Customer Benefit Input'!O90),0)</f>
        <v>0</v>
      </c>
      <c r="M91" s="24">
        <f>IFERROR((VLOOKUP($D91,'0. Control Panel'!$C$7:$F$16,4,FALSE)*('2. Customer Benefit Input'!$F90+'2. Customer Benefit Input'!J90)*'2. Customer Benefit Input'!$L90)-(VLOOKUP($D91,'0. Control Panel'!$C$7:$F$16,4,FALSE)*('2. Customer Benefit Input'!$F90+'2. Customer Benefit Input'!J90)*'2. Customer Benefit Input'!P90),0)</f>
        <v>0</v>
      </c>
      <c r="N91" s="25"/>
      <c r="O91" s="24">
        <f>'2. Customer Benefit Input'!T90</f>
        <v>0</v>
      </c>
      <c r="P91" s="24">
        <f>'2. Customer Benefit Input'!U90</f>
        <v>0</v>
      </c>
      <c r="Q91" s="24">
        <f>'2. Customer Benefit Input'!V90</f>
        <v>0</v>
      </c>
      <c r="R91" s="25"/>
      <c r="S91" s="24">
        <f t="shared" si="91"/>
        <v>24500</v>
      </c>
      <c r="T91" s="24">
        <f t="shared" si="88"/>
        <v>49000</v>
      </c>
      <c r="U91" s="24">
        <f t="shared" si="89"/>
        <v>73500</v>
      </c>
    </row>
    <row r="92" spans="1:21" x14ac:dyDescent="0.25">
      <c r="A92" s="34" t="str">
        <f t="shared" si="90"/>
        <v>FinanceC7</v>
      </c>
      <c r="B92" s="34"/>
      <c r="C92" s="6">
        <f>IF(C91="-","-",IF(C91+1&gt;COUNTA('0. Control Panel'!$C$7:$C$16),"-",'2.1 Customer Benefit Output'!C91+1))</f>
        <v>7</v>
      </c>
      <c r="D92" s="16" t="str">
        <f>IF(C92="-","-",INDEX('0. Control Panel'!$B$6:$K$16,MATCH('2.1 Customer Benefit Output'!$C92,'0. Control Panel'!$B$6:$B$16,0),MATCH(D$7,'0. Control Panel'!$B$6:$K$6,0)))</f>
        <v>Finance</v>
      </c>
      <c r="E92" s="6"/>
      <c r="G92" s="24">
        <f>IFERROR(-VLOOKUP($D92,'0. Control Panel'!$C$7:$F$16,4,FALSE)*(('2. Customer Benefit Input'!$F91+'2. Customer Benefit Input'!H91)*'2. Customer Benefit Input'!$L91)+(VLOOKUP($D92,'0. Control Panel'!$C$7:$F$16,4,FALSE)*('2. Customer Benefit Input'!$F91*'2. Customer Benefit Input'!$L91)),0)</f>
        <v>0</v>
      </c>
      <c r="H92" s="24">
        <f>IFERROR(-VLOOKUP($D92,'0. Control Panel'!$C$7:$F$16,4,FALSE)*(('2. Customer Benefit Input'!$F91+'2. Customer Benefit Input'!I91)*'2. Customer Benefit Input'!$L91)+(VLOOKUP($D92,'0. Control Panel'!$C$7:$F$16,4,FALSE)*('2. Customer Benefit Input'!$F91*'2. Customer Benefit Input'!$L91)),0)</f>
        <v>159000</v>
      </c>
      <c r="I92" s="24">
        <f>IFERROR(-VLOOKUP($D92,'0. Control Panel'!$C$7:$F$16,4,FALSE)*(('2. Customer Benefit Input'!$F91+'2. Customer Benefit Input'!J91)*'2. Customer Benefit Input'!$L91)+(VLOOKUP($D92,'0. Control Panel'!$C$7:$F$16,4,FALSE)*('2. Customer Benefit Input'!$F91*'2. Customer Benefit Input'!$L91)),0)</f>
        <v>318000</v>
      </c>
      <c r="K92" s="24">
        <f>IFERROR((VLOOKUP($D92,'0. Control Panel'!$C$7:$F$16,4,FALSE)*('2. Customer Benefit Input'!$F91+'2. Customer Benefit Input'!H91)*'2. Customer Benefit Input'!$L91)-(VLOOKUP($D92,'0. Control Panel'!$C$7:$F$16,4,FALSE)*('2. Customer Benefit Input'!$F91+'2. Customer Benefit Input'!H91)*'2. Customer Benefit Input'!N91),0)</f>
        <v>0</v>
      </c>
      <c r="L92" s="24">
        <f>IFERROR((VLOOKUP($D92,'0. Control Panel'!$C$7:$F$16,4,FALSE)*('2. Customer Benefit Input'!$F91+'2. Customer Benefit Input'!I91)*'2. Customer Benefit Input'!$L91)-(VLOOKUP($D92,'0. Control Panel'!$C$7:$F$16,4,FALSE)*('2. Customer Benefit Input'!$F91+'2. Customer Benefit Input'!I91)*'2. Customer Benefit Input'!O91),0)</f>
        <v>0</v>
      </c>
      <c r="M92" s="24">
        <f>IFERROR((VLOOKUP($D92,'0. Control Panel'!$C$7:$F$16,4,FALSE)*('2. Customer Benefit Input'!$F91+'2. Customer Benefit Input'!J91)*'2. Customer Benefit Input'!$L91)-(VLOOKUP($D92,'0. Control Panel'!$C$7:$F$16,4,FALSE)*('2. Customer Benefit Input'!$F91+'2. Customer Benefit Input'!J91)*'2. Customer Benefit Input'!P91),0)</f>
        <v>0</v>
      </c>
      <c r="N92" s="25"/>
      <c r="O92" s="24">
        <f>'2. Customer Benefit Input'!T91</f>
        <v>0</v>
      </c>
      <c r="P92" s="24">
        <f>'2. Customer Benefit Input'!U91</f>
        <v>0</v>
      </c>
      <c r="Q92" s="24">
        <f>'2. Customer Benefit Input'!V91</f>
        <v>0</v>
      </c>
      <c r="R92" s="25"/>
      <c r="S92" s="24">
        <f t="shared" si="91"/>
        <v>0</v>
      </c>
      <c r="T92" s="24">
        <f t="shared" si="88"/>
        <v>159000</v>
      </c>
      <c r="U92" s="24">
        <f t="shared" si="89"/>
        <v>318000</v>
      </c>
    </row>
    <row r="93" spans="1:21" x14ac:dyDescent="0.25">
      <c r="A93" s="34" t="str">
        <f t="shared" si="90"/>
        <v>Head OfficeC7</v>
      </c>
      <c r="B93" s="34"/>
      <c r="C93" s="6">
        <f>IF(C92="-","-",IF(C92+1&gt;COUNTA('0. Control Panel'!$C$7:$C$16),"-",'2.1 Customer Benefit Output'!C92+1))</f>
        <v>8</v>
      </c>
      <c r="D93" s="16" t="str">
        <f>IF(C93="-","-",INDEX('0. Control Panel'!$B$6:$K$16,MATCH('2.1 Customer Benefit Output'!$C93,'0. Control Panel'!$B$6:$B$16,0),MATCH(D$7,'0. Control Panel'!$B$6:$K$6,0)))</f>
        <v>Head Office</v>
      </c>
      <c r="E93" s="6"/>
      <c r="G93" s="24">
        <f>IFERROR(-VLOOKUP($D93,'0. Control Panel'!$C$7:$F$16,4,FALSE)*(('2. Customer Benefit Input'!$F92+'2. Customer Benefit Input'!H92)*'2. Customer Benefit Input'!$L92)+(VLOOKUP($D93,'0. Control Panel'!$C$7:$F$16,4,FALSE)*('2. Customer Benefit Input'!$F92*'2. Customer Benefit Input'!$L92)),0)</f>
        <v>0</v>
      </c>
      <c r="H93" s="24">
        <f>IFERROR(-VLOOKUP($D93,'0. Control Panel'!$C$7:$F$16,4,FALSE)*(('2. Customer Benefit Input'!$F92+'2. Customer Benefit Input'!I92)*'2. Customer Benefit Input'!$L92)+(VLOOKUP($D93,'0. Control Panel'!$C$7:$F$16,4,FALSE)*('2. Customer Benefit Input'!$F92*'2. Customer Benefit Input'!$L92)),0)</f>
        <v>76000</v>
      </c>
      <c r="I93" s="24">
        <f>IFERROR(-VLOOKUP($D93,'0. Control Panel'!$C$7:$F$16,4,FALSE)*(('2. Customer Benefit Input'!$F92+'2. Customer Benefit Input'!J92)*'2. Customer Benefit Input'!$L92)+(VLOOKUP($D93,'0. Control Panel'!$C$7:$F$16,4,FALSE)*('2. Customer Benefit Input'!$F92*'2. Customer Benefit Input'!$L92)),0)</f>
        <v>152000</v>
      </c>
      <c r="K93" s="24">
        <f>IFERROR((VLOOKUP($D93,'0. Control Panel'!$C$7:$F$16,4,FALSE)*('2. Customer Benefit Input'!$F92+'2. Customer Benefit Input'!H92)*'2. Customer Benefit Input'!$L92)-(VLOOKUP($D93,'0. Control Panel'!$C$7:$F$16,4,FALSE)*('2. Customer Benefit Input'!$F92+'2. Customer Benefit Input'!H92)*'2. Customer Benefit Input'!N92),0)</f>
        <v>0</v>
      </c>
      <c r="L93" s="24">
        <f>IFERROR((VLOOKUP($D93,'0. Control Panel'!$C$7:$F$16,4,FALSE)*('2. Customer Benefit Input'!$F92+'2. Customer Benefit Input'!I92)*'2. Customer Benefit Input'!$L92)-(VLOOKUP($D93,'0. Control Panel'!$C$7:$F$16,4,FALSE)*('2. Customer Benefit Input'!$F92+'2. Customer Benefit Input'!I92)*'2. Customer Benefit Input'!O92),0)</f>
        <v>30970</v>
      </c>
      <c r="M93" s="24">
        <f>IFERROR((VLOOKUP($D93,'0. Control Panel'!$C$7:$F$16,4,FALSE)*('2. Customer Benefit Input'!$F92+'2. Customer Benefit Input'!J92)*'2. Customer Benefit Input'!$L92)-(VLOOKUP($D93,'0. Control Panel'!$C$7:$F$16,4,FALSE)*('2. Customer Benefit Input'!$F92+'2. Customer Benefit Input'!J92)*'2. Customer Benefit Input'!P92),0)</f>
        <v>31540</v>
      </c>
      <c r="N93" s="25"/>
      <c r="O93" s="24">
        <f>'2. Customer Benefit Input'!T92</f>
        <v>0</v>
      </c>
      <c r="P93" s="24">
        <f>'2. Customer Benefit Input'!U92</f>
        <v>0</v>
      </c>
      <c r="Q93" s="24">
        <f>'2. Customer Benefit Input'!V92</f>
        <v>0</v>
      </c>
      <c r="R93" s="25"/>
      <c r="S93" s="24">
        <f t="shared" si="91"/>
        <v>0</v>
      </c>
      <c r="T93" s="24">
        <f t="shared" si="88"/>
        <v>106970</v>
      </c>
      <c r="U93" s="24">
        <f t="shared" si="89"/>
        <v>183540</v>
      </c>
    </row>
    <row r="94" spans="1:21" x14ac:dyDescent="0.25">
      <c r="A94" s="34" t="str">
        <f t="shared" si="90"/>
        <v>-C7</v>
      </c>
      <c r="B94" s="34"/>
      <c r="C94" s="6" t="str">
        <f>IF(C93="-","-",IF(C93+1&gt;COUNTA('0. Control Panel'!$C$7:$C$16),"-",'2.1 Customer Benefit Output'!C93+1))</f>
        <v>-</v>
      </c>
      <c r="D94" s="16" t="str">
        <f>IF(C94="-","-",INDEX('0. Control Panel'!$B$6:$K$16,MATCH('2.1 Customer Benefit Output'!$C94,'0. Control Panel'!$B$6:$B$16,0),MATCH(D$7,'0. Control Panel'!$B$6:$K$6,0)))</f>
        <v>-</v>
      </c>
      <c r="E94" s="6"/>
      <c r="G94" s="24">
        <f>IFERROR(-VLOOKUP($D94,'0. Control Panel'!$C$7:$F$16,4,FALSE)*(('2. Customer Benefit Input'!$F93+'2. Customer Benefit Input'!H93)*'2. Customer Benefit Input'!$L93)+(VLOOKUP($D94,'0. Control Panel'!$C$7:$F$16,4,FALSE)*('2. Customer Benefit Input'!$F93*'2. Customer Benefit Input'!$L93)),0)</f>
        <v>0</v>
      </c>
      <c r="H94" s="24">
        <f>IFERROR(-VLOOKUP($D94,'0. Control Panel'!$C$7:$F$16,4,FALSE)*(('2. Customer Benefit Input'!$F93+'2. Customer Benefit Input'!I93)*'2. Customer Benefit Input'!$L93)+(VLOOKUP($D94,'0. Control Panel'!$C$7:$F$16,4,FALSE)*('2. Customer Benefit Input'!$F93*'2. Customer Benefit Input'!$L93)),0)</f>
        <v>0</v>
      </c>
      <c r="I94" s="24">
        <f>IFERROR(-VLOOKUP($D94,'0. Control Panel'!$C$7:$F$16,4,FALSE)*(('2. Customer Benefit Input'!$F93+'2. Customer Benefit Input'!J93)*'2. Customer Benefit Input'!$L93)+(VLOOKUP($D94,'0. Control Panel'!$C$7:$F$16,4,FALSE)*('2. Customer Benefit Input'!$F93*'2. Customer Benefit Input'!$L93)),0)</f>
        <v>0</v>
      </c>
      <c r="K94" s="24">
        <f>IFERROR((VLOOKUP($D94,'0. Control Panel'!$C$7:$F$16,4,FALSE)*('2. Customer Benefit Input'!$F93+'2. Customer Benefit Input'!H93)*'2. Customer Benefit Input'!$L93)-(VLOOKUP($D94,'0. Control Panel'!$C$7:$F$16,4,FALSE)*('2. Customer Benefit Input'!$F93+'2. Customer Benefit Input'!H93)*'2. Customer Benefit Input'!N93),0)</f>
        <v>0</v>
      </c>
      <c r="L94" s="24">
        <f>IFERROR((VLOOKUP($D94,'0. Control Panel'!$C$7:$F$16,4,FALSE)*('2. Customer Benefit Input'!$F93+'2. Customer Benefit Input'!I93)*'2. Customer Benefit Input'!$L93)-(VLOOKUP($D94,'0. Control Panel'!$C$7:$F$16,4,FALSE)*('2. Customer Benefit Input'!$F93+'2. Customer Benefit Input'!I93)*'2. Customer Benefit Input'!O93),0)</f>
        <v>0</v>
      </c>
      <c r="M94" s="24">
        <f>IFERROR((VLOOKUP($D94,'0. Control Panel'!$C$7:$F$16,4,FALSE)*('2. Customer Benefit Input'!$F93+'2. Customer Benefit Input'!J93)*'2. Customer Benefit Input'!$L93)-(VLOOKUP($D94,'0. Control Panel'!$C$7:$F$16,4,FALSE)*('2. Customer Benefit Input'!$F93+'2. Customer Benefit Input'!J93)*'2. Customer Benefit Input'!P93),0)</f>
        <v>0</v>
      </c>
      <c r="N94" s="25"/>
      <c r="O94" s="24">
        <f>'2. Customer Benefit Input'!T93</f>
        <v>0</v>
      </c>
      <c r="P94" s="24">
        <f>'2. Customer Benefit Input'!U93</f>
        <v>0</v>
      </c>
      <c r="Q94" s="24">
        <f>'2. Customer Benefit Input'!V93</f>
        <v>0</v>
      </c>
      <c r="R94" s="25"/>
      <c r="S94" s="24">
        <f t="shared" si="91"/>
        <v>0</v>
      </c>
      <c r="T94" s="24">
        <f t="shared" si="88"/>
        <v>0</v>
      </c>
      <c r="U94" s="24">
        <f t="shared" si="89"/>
        <v>0</v>
      </c>
    </row>
    <row r="95" spans="1:21" x14ac:dyDescent="0.25">
      <c r="A95" s="34" t="str">
        <f t="shared" si="90"/>
        <v>-C7</v>
      </c>
      <c r="B95" s="34"/>
      <c r="C95" s="7" t="str">
        <f>IF(C94="-","-",IF(C94+1&gt;COUNTA('0. Control Panel'!$C$7:$C$16),"-",'2.1 Customer Benefit Output'!C94+1))</f>
        <v>-</v>
      </c>
      <c r="D95" s="17" t="str">
        <f>IF(C95="-","-",INDEX('0. Control Panel'!$B$6:$K$16,MATCH('2.1 Customer Benefit Output'!$C95,'0. Control Panel'!$B$6:$B$16,0),MATCH(D$7,'0. Control Panel'!$B$6:$K$6,0)))</f>
        <v>-</v>
      </c>
      <c r="E95" s="7"/>
      <c r="G95" s="24">
        <f>IFERROR(-VLOOKUP($D95,'0. Control Panel'!$C$7:$F$16,4,FALSE)*(('2. Customer Benefit Input'!$F94+'2. Customer Benefit Input'!H94)*'2. Customer Benefit Input'!$L94)+(VLOOKUP($D95,'0. Control Panel'!$C$7:$F$16,4,FALSE)*('2. Customer Benefit Input'!$F94*'2. Customer Benefit Input'!$L94)),0)</f>
        <v>0</v>
      </c>
      <c r="H95" s="24">
        <f>IFERROR(-VLOOKUP($D95,'0. Control Panel'!$C$7:$F$16,4,FALSE)*(('2. Customer Benefit Input'!$F94+'2. Customer Benefit Input'!I94)*'2. Customer Benefit Input'!$L94)+(VLOOKUP($D95,'0. Control Panel'!$C$7:$F$16,4,FALSE)*('2. Customer Benefit Input'!$F94*'2. Customer Benefit Input'!$L94)),0)</f>
        <v>0</v>
      </c>
      <c r="I95" s="24">
        <f>IFERROR(-VLOOKUP($D95,'0. Control Panel'!$C$7:$F$16,4,FALSE)*(('2. Customer Benefit Input'!$F94+'2. Customer Benefit Input'!J94)*'2. Customer Benefit Input'!$L94)+(VLOOKUP($D95,'0. Control Panel'!$C$7:$F$16,4,FALSE)*('2. Customer Benefit Input'!$F94*'2. Customer Benefit Input'!$L94)),0)</f>
        <v>0</v>
      </c>
      <c r="K95" s="24">
        <f>IFERROR((VLOOKUP($D95,'0. Control Panel'!$C$7:$F$16,4,FALSE)*('2. Customer Benefit Input'!$F94+'2. Customer Benefit Input'!H94)*'2. Customer Benefit Input'!$L94)-(VLOOKUP($D95,'0. Control Panel'!$C$7:$F$16,4,FALSE)*('2. Customer Benefit Input'!$F94+'2. Customer Benefit Input'!H94)*'2. Customer Benefit Input'!N94),0)</f>
        <v>0</v>
      </c>
      <c r="L95" s="24">
        <f>IFERROR((VLOOKUP($D95,'0. Control Panel'!$C$7:$F$16,4,FALSE)*('2. Customer Benefit Input'!$F94+'2. Customer Benefit Input'!I94)*'2. Customer Benefit Input'!$L94)-(VLOOKUP($D95,'0. Control Panel'!$C$7:$F$16,4,FALSE)*('2. Customer Benefit Input'!$F94+'2. Customer Benefit Input'!I94)*'2. Customer Benefit Input'!O94),0)</f>
        <v>0</v>
      </c>
      <c r="M95" s="24">
        <f>IFERROR((VLOOKUP($D95,'0. Control Panel'!$C$7:$F$16,4,FALSE)*('2. Customer Benefit Input'!$F94+'2. Customer Benefit Input'!J94)*'2. Customer Benefit Input'!$L94)-(VLOOKUP($D95,'0. Control Panel'!$C$7:$F$16,4,FALSE)*('2. Customer Benefit Input'!$F94+'2. Customer Benefit Input'!J94)*'2. Customer Benefit Input'!P94),0)</f>
        <v>0</v>
      </c>
      <c r="N95" s="25"/>
      <c r="O95" s="24">
        <f>'2. Customer Benefit Input'!T94</f>
        <v>0</v>
      </c>
      <c r="P95" s="24">
        <f>'2. Customer Benefit Input'!U94</f>
        <v>0</v>
      </c>
      <c r="Q95" s="24">
        <f>'2. Customer Benefit Input'!V94</f>
        <v>0</v>
      </c>
      <c r="R95" s="25"/>
      <c r="S95" s="24">
        <f t="shared" si="91"/>
        <v>0</v>
      </c>
      <c r="T95" s="24">
        <f t="shared" si="88"/>
        <v>0</v>
      </c>
      <c r="U95" s="24">
        <f t="shared" si="89"/>
        <v>0</v>
      </c>
    </row>
    <row r="96" spans="1:21" ht="16.5" thickBot="1" x14ac:dyDescent="0.3">
      <c r="A96" s="34" t="str">
        <f>D96&amp;$C$85</f>
        <v>All Departments/FunctionsC7</v>
      </c>
      <c r="B96" s="34"/>
      <c r="C96" s="23"/>
      <c r="D96" s="27" t="str">
        <f>D83</f>
        <v>All Departments/Functions</v>
      </c>
      <c r="E96" s="23"/>
      <c r="F96" s="23"/>
      <c r="G96" s="28">
        <f>SUM(G86:G95)</f>
        <v>344500</v>
      </c>
      <c r="H96" s="28">
        <f t="shared" ref="H96" si="92">SUM(H86:H95)</f>
        <v>924000</v>
      </c>
      <c r="I96" s="28">
        <f t="shared" ref="I96" si="93">SUM(I86:I95)</f>
        <v>1503500</v>
      </c>
      <c r="J96" s="23"/>
      <c r="K96" s="28">
        <f>SUM(K86:K95)</f>
        <v>0</v>
      </c>
      <c r="L96" s="28">
        <f t="shared" ref="L96" si="94">SUM(L86:L95)</f>
        <v>30970</v>
      </c>
      <c r="M96" s="28">
        <f t="shared" ref="M96" si="95">SUM(M86:M95)</f>
        <v>31540</v>
      </c>
      <c r="N96" s="29"/>
      <c r="O96" s="28">
        <f t="shared" ref="O96" si="96">SUM(O86:O95)</f>
        <v>0</v>
      </c>
      <c r="P96" s="28">
        <f t="shared" ref="P96" si="97">SUM(P86:P95)</f>
        <v>0</v>
      </c>
      <c r="Q96" s="28">
        <f t="shared" ref="Q96" si="98">SUM(Q86:Q95)</f>
        <v>0</v>
      </c>
      <c r="R96" s="29"/>
      <c r="S96" s="28">
        <f t="shared" ref="S96" si="99">SUM(S86:S95)</f>
        <v>344500</v>
      </c>
      <c r="T96" s="28">
        <f t="shared" ref="T96" si="100">SUM(T86:T95)</f>
        <v>954970</v>
      </c>
      <c r="U96" s="28">
        <f t="shared" ref="U96" si="101">SUM(U86:U95)</f>
        <v>1535040</v>
      </c>
    </row>
    <row r="97" spans="1:21" ht="16.5" thickTop="1" x14ac:dyDescent="0.25">
      <c r="A97" s="34"/>
      <c r="B97" s="34"/>
      <c r="C97" s="4"/>
      <c r="D97" s="4"/>
      <c r="E97" s="4"/>
      <c r="F97"/>
      <c r="G97" s="26"/>
      <c r="H97" s="26"/>
      <c r="I97" s="26"/>
      <c r="J97"/>
      <c r="K97" s="26"/>
      <c r="L97" s="26"/>
      <c r="M97" s="26"/>
      <c r="N97" s="26"/>
      <c r="O97" s="26"/>
      <c r="P97" s="26"/>
      <c r="Q97" s="26"/>
      <c r="R97" s="26"/>
      <c r="S97" s="26"/>
      <c r="T97" s="26"/>
      <c r="U97" s="26"/>
    </row>
    <row r="98" spans="1:21" ht="15.95" customHeight="1" x14ac:dyDescent="0.25">
      <c r="A98" s="34"/>
      <c r="B98" s="34"/>
      <c r="C98" s="12" t="s">
        <v>19</v>
      </c>
      <c r="D98" s="30" t="str">
        <f>IF(INDEX('0. Control Panel'!$B$19:$C$29,MATCH('2.1 Customer Benefit Output'!$C98,'0. Control Panel'!$B$19:$B$29,0),2)="","n/a",INDEX('0. Control Panel'!$B$19:$C$29,MATCH('2.1 Customer Benefit Output'!$C98,'0. Control Panel'!$B$19:$B$29,0),2))</f>
        <v>n/a</v>
      </c>
      <c r="F98"/>
      <c r="G98" s="26"/>
      <c r="H98" s="26"/>
      <c r="I98" s="26"/>
      <c r="J98"/>
      <c r="K98" s="26"/>
      <c r="L98" s="26"/>
      <c r="M98" s="26"/>
      <c r="N98" s="26"/>
      <c r="O98" s="26"/>
      <c r="P98" s="26"/>
      <c r="Q98" s="26"/>
      <c r="R98" s="26"/>
      <c r="S98" s="26"/>
      <c r="T98" s="26"/>
      <c r="U98" s="26"/>
    </row>
    <row r="99" spans="1:21" x14ac:dyDescent="0.25">
      <c r="A99" s="34" t="str">
        <f>D99&amp;$C$98</f>
        <v>ITC8</v>
      </c>
      <c r="B99" s="34"/>
      <c r="C99" s="5">
        <v>1</v>
      </c>
      <c r="D99" s="15" t="str">
        <f>IF(C99="-","-",INDEX('0. Control Panel'!$B$6:$K$16,MATCH('2.1 Customer Benefit Output'!$C99,'0. Control Panel'!$B$6:$B$16,0),MATCH(D$7,'0. Control Panel'!$B$6:$K$6,0)))</f>
        <v>IT</v>
      </c>
      <c r="E99" s="5"/>
      <c r="G99" s="24">
        <f>IFERROR(-VLOOKUP($D99,'0. Control Panel'!$C$7:$F$16,4,FALSE)*(('2. Customer Benefit Input'!$F98+'2. Customer Benefit Input'!H98)*'2. Customer Benefit Input'!$L98)+(VLOOKUP($D99,'0. Control Panel'!$C$7:$F$16,4,FALSE)*('2. Customer Benefit Input'!$F98*'2. Customer Benefit Input'!$L98)),0)</f>
        <v>0</v>
      </c>
      <c r="H99" s="24">
        <f>IFERROR(-VLOOKUP($D99,'0. Control Panel'!$C$7:$F$16,4,FALSE)*(('2. Customer Benefit Input'!$F98+'2. Customer Benefit Input'!I98)*'2. Customer Benefit Input'!$L98)+(VLOOKUP($D99,'0. Control Panel'!$C$7:$F$16,4,FALSE)*('2. Customer Benefit Input'!$F98*'2. Customer Benefit Input'!$L98)),0)</f>
        <v>0</v>
      </c>
      <c r="I99" s="24">
        <f>IFERROR(-VLOOKUP($D99,'0. Control Panel'!$C$7:$F$16,4,FALSE)*(('2. Customer Benefit Input'!$F98+'2. Customer Benefit Input'!J98)*'2. Customer Benefit Input'!$L98)+(VLOOKUP($D99,'0. Control Panel'!$C$7:$F$16,4,FALSE)*('2. Customer Benefit Input'!$F98*'2. Customer Benefit Input'!$L98)),0)</f>
        <v>0</v>
      </c>
      <c r="K99" s="24">
        <f>IFERROR((VLOOKUP($D99,'0. Control Panel'!$C$7:$F$16,4,FALSE)*('2. Customer Benefit Input'!$F98+'2. Customer Benefit Input'!H98)*'2. Customer Benefit Input'!$L98)-(VLOOKUP($D99,'0. Control Panel'!$C$7:$F$16,4,FALSE)*('2. Customer Benefit Input'!$F98+'2. Customer Benefit Input'!H98)*'2. Customer Benefit Input'!N98),0)</f>
        <v>0</v>
      </c>
      <c r="L99" s="24">
        <f>IFERROR((VLOOKUP($D99,'0. Control Panel'!$C$7:$F$16,4,FALSE)*('2. Customer Benefit Input'!$F98+'2. Customer Benefit Input'!I98)*'2. Customer Benefit Input'!$L98)-(VLOOKUP($D99,'0. Control Panel'!$C$7:$F$16,4,FALSE)*('2. Customer Benefit Input'!$F98+'2. Customer Benefit Input'!I98)*'2. Customer Benefit Input'!O98),0)</f>
        <v>0</v>
      </c>
      <c r="M99" s="24">
        <f>IFERROR((VLOOKUP($D99,'0. Control Panel'!$C$7:$F$16,4,FALSE)*('2. Customer Benefit Input'!$F98+'2. Customer Benefit Input'!J98)*'2. Customer Benefit Input'!$L98)-(VLOOKUP($D99,'0. Control Panel'!$C$7:$F$16,4,FALSE)*('2. Customer Benefit Input'!$F98+'2. Customer Benefit Input'!J98)*'2. Customer Benefit Input'!P98),0)</f>
        <v>0</v>
      </c>
      <c r="N99" s="25"/>
      <c r="O99" s="24">
        <f>'2. Customer Benefit Input'!T98</f>
        <v>0</v>
      </c>
      <c r="P99" s="24">
        <f>'2. Customer Benefit Input'!U105</f>
        <v>0</v>
      </c>
      <c r="Q99" s="24">
        <f>'2. Customer Benefit Input'!V105</f>
        <v>0</v>
      </c>
      <c r="R99" s="25"/>
      <c r="S99" s="24">
        <f>SUM(G99,K99,O99)</f>
        <v>0</v>
      </c>
      <c r="T99" s="24">
        <f t="shared" ref="T99:T108" si="102">SUM(H99,L99,P99)</f>
        <v>0</v>
      </c>
      <c r="U99" s="24">
        <f t="shared" ref="U99:U108" si="103">SUM(I99,M99,Q99)</f>
        <v>0</v>
      </c>
    </row>
    <row r="100" spans="1:21" x14ac:dyDescent="0.25">
      <c r="A100" s="34" t="str">
        <f t="shared" ref="A100:A108" si="104">D100&amp;$C$98</f>
        <v>SalesC8</v>
      </c>
      <c r="B100" s="34"/>
      <c r="C100" s="6">
        <f>IF(C99="-","-",IF(C99+1&gt;COUNTA('0. Control Panel'!$C$7:$C$16),"-",'2.1 Customer Benefit Output'!C99+1))</f>
        <v>2</v>
      </c>
      <c r="D100" s="16" t="str">
        <f>IF(C100="-","-",INDEX('0. Control Panel'!$B$6:$K$16,MATCH('2.1 Customer Benefit Output'!$C100,'0. Control Panel'!$B$6:$B$16,0),MATCH(D$7,'0. Control Panel'!$B$6:$K$6,0)))</f>
        <v>Sales</v>
      </c>
      <c r="E100" s="6"/>
      <c r="G100" s="24">
        <f>IFERROR(-VLOOKUP($D100,'0. Control Panel'!$C$7:$F$16,4,FALSE)*(('2. Customer Benefit Input'!$F99+'2. Customer Benefit Input'!H99)*'2. Customer Benefit Input'!$L99)+(VLOOKUP($D100,'0. Control Panel'!$C$7:$F$16,4,FALSE)*('2. Customer Benefit Input'!$F99*'2. Customer Benefit Input'!$L99)),0)</f>
        <v>0</v>
      </c>
      <c r="H100" s="24">
        <f>IFERROR(-VLOOKUP($D100,'0. Control Panel'!$C$7:$F$16,4,FALSE)*(('2. Customer Benefit Input'!$F99+'2. Customer Benefit Input'!I99)*'2. Customer Benefit Input'!$L99)+(VLOOKUP($D100,'0. Control Panel'!$C$7:$F$16,4,FALSE)*('2. Customer Benefit Input'!$F99*'2. Customer Benefit Input'!$L99)),0)</f>
        <v>0</v>
      </c>
      <c r="I100" s="24">
        <f>IFERROR(-VLOOKUP($D100,'0. Control Panel'!$C$7:$F$16,4,FALSE)*(('2. Customer Benefit Input'!$F99+'2. Customer Benefit Input'!J99)*'2. Customer Benefit Input'!$L99)+(VLOOKUP($D100,'0. Control Panel'!$C$7:$F$16,4,FALSE)*('2. Customer Benefit Input'!$F99*'2. Customer Benefit Input'!$L99)),0)</f>
        <v>0</v>
      </c>
      <c r="K100" s="24">
        <f>IFERROR((VLOOKUP($D100,'0. Control Panel'!$C$7:$F$16,4,FALSE)*('2. Customer Benefit Input'!$F99+'2. Customer Benefit Input'!H99)*'2. Customer Benefit Input'!$L99)-(VLOOKUP($D100,'0. Control Panel'!$C$7:$F$16,4,FALSE)*('2. Customer Benefit Input'!$F99+'2. Customer Benefit Input'!H99)*'2. Customer Benefit Input'!N99),0)</f>
        <v>0</v>
      </c>
      <c r="L100" s="24">
        <f>IFERROR((VLOOKUP($D100,'0. Control Panel'!$C$7:$F$16,4,FALSE)*('2. Customer Benefit Input'!$F99+'2. Customer Benefit Input'!I99)*'2. Customer Benefit Input'!$L99)-(VLOOKUP($D100,'0. Control Panel'!$C$7:$F$16,4,FALSE)*('2. Customer Benefit Input'!$F99+'2. Customer Benefit Input'!I99)*'2. Customer Benefit Input'!O99),0)</f>
        <v>0</v>
      </c>
      <c r="M100" s="24">
        <f>IFERROR((VLOOKUP($D100,'0. Control Panel'!$C$7:$F$16,4,FALSE)*('2. Customer Benefit Input'!$F99+'2. Customer Benefit Input'!J99)*'2. Customer Benefit Input'!$L99)-(VLOOKUP($D100,'0. Control Panel'!$C$7:$F$16,4,FALSE)*('2. Customer Benefit Input'!$F99+'2. Customer Benefit Input'!J99)*'2. Customer Benefit Input'!P99),0)</f>
        <v>0</v>
      </c>
      <c r="N100" s="25"/>
      <c r="O100" s="24">
        <f>'2. Customer Benefit Input'!T106</f>
        <v>0</v>
      </c>
      <c r="P100" s="24">
        <f>'2. Customer Benefit Input'!U106</f>
        <v>0</v>
      </c>
      <c r="Q100" s="24">
        <f>'2. Customer Benefit Input'!V106</f>
        <v>0</v>
      </c>
      <c r="R100" s="25"/>
      <c r="S100" s="24">
        <f t="shared" ref="S100:S108" si="105">SUM(G100,K100,O100)</f>
        <v>0</v>
      </c>
      <c r="T100" s="24">
        <f t="shared" si="102"/>
        <v>0</v>
      </c>
      <c r="U100" s="24">
        <f t="shared" si="103"/>
        <v>0</v>
      </c>
    </row>
    <row r="101" spans="1:21" s="1" customFormat="1" x14ac:dyDescent="0.25">
      <c r="A101" s="34" t="str">
        <f t="shared" si="104"/>
        <v>Product AC8</v>
      </c>
      <c r="B101" s="34"/>
      <c r="C101" s="6">
        <f>IF(C100="-","-",IF(C100+1&gt;COUNTA('0. Control Panel'!$C$7:$C$16),"-",'2.1 Customer Benefit Output'!C100+1))</f>
        <v>3</v>
      </c>
      <c r="D101" s="16" t="str">
        <f>IF(C101="-","-",INDEX('0. Control Panel'!$B$6:$K$16,MATCH('2.1 Customer Benefit Output'!$C101,'0. Control Panel'!$B$6:$B$16,0),MATCH(D$7,'0. Control Panel'!$B$6:$K$6,0)))</f>
        <v>Product A</v>
      </c>
      <c r="E101" s="6"/>
      <c r="G101" s="24">
        <f>IFERROR(-VLOOKUP($D101,'0. Control Panel'!$C$7:$F$16,4,FALSE)*(('2. Customer Benefit Input'!$F100+'2. Customer Benefit Input'!H100)*'2. Customer Benefit Input'!$L100)+(VLOOKUP($D101,'0. Control Panel'!$C$7:$F$16,4,FALSE)*('2. Customer Benefit Input'!$F100*'2. Customer Benefit Input'!$L100)),0)</f>
        <v>0</v>
      </c>
      <c r="H101" s="24">
        <f>IFERROR(-VLOOKUP($D101,'0. Control Panel'!$C$7:$F$16,4,FALSE)*(('2. Customer Benefit Input'!$F100+'2. Customer Benefit Input'!I100)*'2. Customer Benefit Input'!$L100)+(VLOOKUP($D101,'0. Control Panel'!$C$7:$F$16,4,FALSE)*('2. Customer Benefit Input'!$F100*'2. Customer Benefit Input'!$L100)),0)</f>
        <v>0</v>
      </c>
      <c r="I101" s="24">
        <f>IFERROR(-VLOOKUP($D101,'0. Control Panel'!$C$7:$F$16,4,FALSE)*(('2. Customer Benefit Input'!$F100+'2. Customer Benefit Input'!J100)*'2. Customer Benefit Input'!$L100)+(VLOOKUP($D101,'0. Control Panel'!$C$7:$F$16,4,FALSE)*('2. Customer Benefit Input'!$F100*'2. Customer Benefit Input'!$L100)),0)</f>
        <v>0</v>
      </c>
      <c r="K101" s="24">
        <f>IFERROR((VLOOKUP($D101,'0. Control Panel'!$C$7:$F$16,4,FALSE)*('2. Customer Benefit Input'!$F100+'2. Customer Benefit Input'!H100)*'2. Customer Benefit Input'!$L100)-(VLOOKUP($D101,'0. Control Panel'!$C$7:$F$16,4,FALSE)*('2. Customer Benefit Input'!$F100+'2. Customer Benefit Input'!H100)*'2. Customer Benefit Input'!N100),0)</f>
        <v>0</v>
      </c>
      <c r="L101" s="24">
        <f>IFERROR((VLOOKUP($D101,'0. Control Panel'!$C$7:$F$16,4,FALSE)*('2. Customer Benefit Input'!$F100+'2. Customer Benefit Input'!I100)*'2. Customer Benefit Input'!$L100)-(VLOOKUP($D101,'0. Control Panel'!$C$7:$F$16,4,FALSE)*('2. Customer Benefit Input'!$F100+'2. Customer Benefit Input'!I100)*'2. Customer Benefit Input'!O100),0)</f>
        <v>0</v>
      </c>
      <c r="M101" s="24">
        <f>IFERROR((VLOOKUP($D101,'0. Control Panel'!$C$7:$F$16,4,FALSE)*('2. Customer Benefit Input'!$F100+'2. Customer Benefit Input'!J100)*'2. Customer Benefit Input'!$L100)-(VLOOKUP($D101,'0. Control Panel'!$C$7:$F$16,4,FALSE)*('2. Customer Benefit Input'!$F100+'2. Customer Benefit Input'!J100)*'2. Customer Benefit Input'!P100),0)</f>
        <v>0</v>
      </c>
      <c r="N101" s="25"/>
      <c r="O101" s="24">
        <f>'2. Customer Benefit Input'!T107</f>
        <v>0</v>
      </c>
      <c r="P101" s="24">
        <f>'2. Customer Benefit Input'!U107</f>
        <v>0</v>
      </c>
      <c r="Q101" s="24">
        <f>'2. Customer Benefit Input'!V107</f>
        <v>0</v>
      </c>
      <c r="R101" s="25"/>
      <c r="S101" s="24">
        <f t="shared" si="105"/>
        <v>0</v>
      </c>
      <c r="T101" s="24">
        <f t="shared" si="102"/>
        <v>0</v>
      </c>
      <c r="U101" s="24">
        <f t="shared" si="103"/>
        <v>0</v>
      </c>
    </row>
    <row r="102" spans="1:21" s="1" customFormat="1" x14ac:dyDescent="0.25">
      <c r="A102" s="34" t="str">
        <f t="shared" si="104"/>
        <v>Product BC8</v>
      </c>
      <c r="B102" s="34"/>
      <c r="C102" s="6">
        <f>IF(C101="-","-",IF(C101+1&gt;COUNTA('0. Control Panel'!$C$7:$C$16),"-",'2.1 Customer Benefit Output'!C101+1))</f>
        <v>4</v>
      </c>
      <c r="D102" s="16" t="str">
        <f>IF(C102="-","-",INDEX('0. Control Panel'!$B$6:$K$16,MATCH('2.1 Customer Benefit Output'!$C102,'0. Control Panel'!$B$6:$B$16,0),MATCH(D$7,'0. Control Panel'!$B$6:$K$6,0)))</f>
        <v>Product B</v>
      </c>
      <c r="E102" s="6"/>
      <c r="G102" s="24">
        <f>IFERROR(-VLOOKUP($D102,'0. Control Panel'!$C$7:$F$16,4,FALSE)*(('2. Customer Benefit Input'!$F101+'2. Customer Benefit Input'!H101)*'2. Customer Benefit Input'!$L101)+(VLOOKUP($D102,'0. Control Panel'!$C$7:$F$16,4,FALSE)*('2. Customer Benefit Input'!$F101*'2. Customer Benefit Input'!$L101)),0)</f>
        <v>0</v>
      </c>
      <c r="H102" s="24">
        <f>IFERROR(-VLOOKUP($D102,'0. Control Panel'!$C$7:$F$16,4,FALSE)*(('2. Customer Benefit Input'!$F101+'2. Customer Benefit Input'!I101)*'2. Customer Benefit Input'!$L101)+(VLOOKUP($D102,'0. Control Panel'!$C$7:$F$16,4,FALSE)*('2. Customer Benefit Input'!$F101*'2. Customer Benefit Input'!$L101)),0)</f>
        <v>0</v>
      </c>
      <c r="I102" s="24">
        <f>IFERROR(-VLOOKUP($D102,'0. Control Panel'!$C$7:$F$16,4,FALSE)*(('2. Customer Benefit Input'!$F101+'2. Customer Benefit Input'!J101)*'2. Customer Benefit Input'!$L101)+(VLOOKUP($D102,'0. Control Panel'!$C$7:$F$16,4,FALSE)*('2. Customer Benefit Input'!$F101*'2. Customer Benefit Input'!$L101)),0)</f>
        <v>0</v>
      </c>
      <c r="K102" s="24">
        <f>IFERROR((VLOOKUP($D102,'0. Control Panel'!$C$7:$F$16,4,FALSE)*('2. Customer Benefit Input'!$F101+'2. Customer Benefit Input'!H101)*'2. Customer Benefit Input'!$L101)-(VLOOKUP($D102,'0. Control Panel'!$C$7:$F$16,4,FALSE)*('2. Customer Benefit Input'!$F101+'2. Customer Benefit Input'!H101)*'2. Customer Benefit Input'!N101),0)</f>
        <v>0</v>
      </c>
      <c r="L102" s="24">
        <f>IFERROR((VLOOKUP($D102,'0. Control Panel'!$C$7:$F$16,4,FALSE)*('2. Customer Benefit Input'!$F101+'2. Customer Benefit Input'!I101)*'2. Customer Benefit Input'!$L101)-(VLOOKUP($D102,'0. Control Panel'!$C$7:$F$16,4,FALSE)*('2. Customer Benefit Input'!$F101+'2. Customer Benefit Input'!I101)*'2. Customer Benefit Input'!O101),0)</f>
        <v>0</v>
      </c>
      <c r="M102" s="24">
        <f>IFERROR((VLOOKUP($D102,'0. Control Panel'!$C$7:$F$16,4,FALSE)*('2. Customer Benefit Input'!$F101+'2. Customer Benefit Input'!J101)*'2. Customer Benefit Input'!$L101)-(VLOOKUP($D102,'0. Control Panel'!$C$7:$F$16,4,FALSE)*('2. Customer Benefit Input'!$F101+'2. Customer Benefit Input'!J101)*'2. Customer Benefit Input'!P101),0)</f>
        <v>0</v>
      </c>
      <c r="N102" s="25"/>
      <c r="O102" s="24">
        <f>'2. Customer Benefit Input'!T108</f>
        <v>0</v>
      </c>
      <c r="P102" s="24">
        <f>'2. Customer Benefit Input'!U108</f>
        <v>0</v>
      </c>
      <c r="Q102" s="24">
        <f>'2. Customer Benefit Input'!V108</f>
        <v>0</v>
      </c>
      <c r="R102" s="25"/>
      <c r="S102" s="24">
        <f t="shared" si="105"/>
        <v>0</v>
      </c>
      <c r="T102" s="24">
        <f t="shared" si="102"/>
        <v>0</v>
      </c>
      <c r="U102" s="24">
        <f t="shared" si="103"/>
        <v>0</v>
      </c>
    </row>
    <row r="103" spans="1:21" s="1" customFormat="1" x14ac:dyDescent="0.25">
      <c r="A103" s="34" t="str">
        <f t="shared" si="104"/>
        <v>R&amp;DC8</v>
      </c>
      <c r="B103" s="34"/>
      <c r="C103" s="6">
        <f>IF(C102="-","-",IF(C102+1&gt;COUNTA('0. Control Panel'!$C$7:$C$16),"-",'2.1 Customer Benefit Output'!C102+1))</f>
        <v>5</v>
      </c>
      <c r="D103" s="16" t="str">
        <f>IF(C103="-","-",INDEX('0. Control Panel'!$B$6:$K$16,MATCH('2.1 Customer Benefit Output'!$C103,'0. Control Panel'!$B$6:$B$16,0),MATCH(D$7,'0. Control Panel'!$B$6:$K$6,0)))</f>
        <v>R&amp;D</v>
      </c>
      <c r="E103" s="6"/>
      <c r="G103" s="24">
        <f>IFERROR(-VLOOKUP($D103,'0. Control Panel'!$C$7:$F$16,4,FALSE)*(('2. Customer Benefit Input'!$F102+'2. Customer Benefit Input'!H102)*'2. Customer Benefit Input'!$L102)+(VLOOKUP($D103,'0. Control Panel'!$C$7:$F$16,4,FALSE)*('2. Customer Benefit Input'!$F102*'2. Customer Benefit Input'!$L102)),0)</f>
        <v>0</v>
      </c>
      <c r="H103" s="24">
        <f>IFERROR(-VLOOKUP($D103,'0. Control Panel'!$C$7:$F$16,4,FALSE)*(('2. Customer Benefit Input'!$F102+'2. Customer Benefit Input'!I102)*'2. Customer Benefit Input'!$L102)+(VLOOKUP($D103,'0. Control Panel'!$C$7:$F$16,4,FALSE)*('2. Customer Benefit Input'!$F102*'2. Customer Benefit Input'!$L102)),0)</f>
        <v>0</v>
      </c>
      <c r="I103" s="24">
        <f>IFERROR(-VLOOKUP($D103,'0. Control Panel'!$C$7:$F$16,4,FALSE)*(('2. Customer Benefit Input'!$F102+'2. Customer Benefit Input'!J102)*'2. Customer Benefit Input'!$L102)+(VLOOKUP($D103,'0. Control Panel'!$C$7:$F$16,4,FALSE)*('2. Customer Benefit Input'!$F102*'2. Customer Benefit Input'!$L102)),0)</f>
        <v>0</v>
      </c>
      <c r="K103" s="24">
        <f>IFERROR((VLOOKUP($D103,'0. Control Panel'!$C$7:$F$16,4,FALSE)*('2. Customer Benefit Input'!$F102+'2. Customer Benefit Input'!H102)*'2. Customer Benefit Input'!$L102)-(VLOOKUP($D103,'0. Control Panel'!$C$7:$F$16,4,FALSE)*('2. Customer Benefit Input'!$F102+'2. Customer Benefit Input'!H102)*'2. Customer Benefit Input'!N102),0)</f>
        <v>0</v>
      </c>
      <c r="L103" s="24">
        <f>IFERROR((VLOOKUP($D103,'0. Control Panel'!$C$7:$F$16,4,FALSE)*('2. Customer Benefit Input'!$F102+'2. Customer Benefit Input'!I102)*'2. Customer Benefit Input'!$L102)-(VLOOKUP($D103,'0. Control Panel'!$C$7:$F$16,4,FALSE)*('2. Customer Benefit Input'!$F102+'2. Customer Benefit Input'!I102)*'2. Customer Benefit Input'!O102),0)</f>
        <v>0</v>
      </c>
      <c r="M103" s="24">
        <f>IFERROR((VLOOKUP($D103,'0. Control Panel'!$C$7:$F$16,4,FALSE)*('2. Customer Benefit Input'!$F102+'2. Customer Benefit Input'!J102)*'2. Customer Benefit Input'!$L102)-(VLOOKUP($D103,'0. Control Panel'!$C$7:$F$16,4,FALSE)*('2. Customer Benefit Input'!$F102+'2. Customer Benefit Input'!J102)*'2. Customer Benefit Input'!P102),0)</f>
        <v>0</v>
      </c>
      <c r="N103" s="25"/>
      <c r="O103" s="24">
        <f>'2. Customer Benefit Input'!T110</f>
        <v>0</v>
      </c>
      <c r="P103" s="24">
        <f>'2. Customer Benefit Input'!U110</f>
        <v>0</v>
      </c>
      <c r="Q103" s="24">
        <f>'2. Customer Benefit Input'!V110</f>
        <v>0</v>
      </c>
      <c r="R103" s="25"/>
      <c r="S103" s="24">
        <f t="shared" si="105"/>
        <v>0</v>
      </c>
      <c r="T103" s="24">
        <f t="shared" si="102"/>
        <v>0</v>
      </c>
      <c r="U103" s="24">
        <f t="shared" si="103"/>
        <v>0</v>
      </c>
    </row>
    <row r="104" spans="1:21" s="1" customFormat="1" x14ac:dyDescent="0.25">
      <c r="A104" s="34" t="str">
        <f t="shared" si="104"/>
        <v>HRC8</v>
      </c>
      <c r="B104" s="34"/>
      <c r="C104" s="6">
        <f>IF(C103="-","-",IF(C103+1&gt;COUNTA('0. Control Panel'!$C$7:$C$16),"-",'2.1 Customer Benefit Output'!C103+1))</f>
        <v>6</v>
      </c>
      <c r="D104" s="16" t="str">
        <f>IF(C104="-","-",INDEX('0. Control Panel'!$B$6:$K$16,MATCH('2.1 Customer Benefit Output'!$C104,'0. Control Panel'!$B$6:$B$16,0),MATCH(D$7,'0. Control Panel'!$B$6:$K$6,0)))</f>
        <v>HR</v>
      </c>
      <c r="E104" s="6"/>
      <c r="G104" s="24">
        <f>IFERROR(-VLOOKUP($D104,'0. Control Panel'!$C$7:$F$16,4,FALSE)*(('2. Customer Benefit Input'!$F103+'2. Customer Benefit Input'!H103)*'2. Customer Benefit Input'!$L103)+(VLOOKUP($D104,'0. Control Panel'!$C$7:$F$16,4,FALSE)*('2. Customer Benefit Input'!$F103*'2. Customer Benefit Input'!$L103)),0)</f>
        <v>0</v>
      </c>
      <c r="H104" s="24">
        <f>IFERROR(-VLOOKUP($D104,'0. Control Panel'!$C$7:$F$16,4,FALSE)*(('2. Customer Benefit Input'!$F103+'2. Customer Benefit Input'!I103)*'2. Customer Benefit Input'!$L103)+(VLOOKUP($D104,'0. Control Panel'!$C$7:$F$16,4,FALSE)*('2. Customer Benefit Input'!$F103*'2. Customer Benefit Input'!$L103)),0)</f>
        <v>0</v>
      </c>
      <c r="I104" s="24">
        <f>IFERROR(-VLOOKUP($D104,'0. Control Panel'!$C$7:$F$16,4,FALSE)*(('2. Customer Benefit Input'!$F103+'2. Customer Benefit Input'!J103)*'2. Customer Benefit Input'!$L103)+(VLOOKUP($D104,'0. Control Panel'!$C$7:$F$16,4,FALSE)*('2. Customer Benefit Input'!$F103*'2. Customer Benefit Input'!$L103)),0)</f>
        <v>0</v>
      </c>
      <c r="K104" s="24">
        <f>IFERROR((VLOOKUP($D104,'0. Control Panel'!$C$7:$F$16,4,FALSE)*('2. Customer Benefit Input'!$F103+'2. Customer Benefit Input'!H103)*'2. Customer Benefit Input'!$L103)-(VLOOKUP($D104,'0. Control Panel'!$C$7:$F$16,4,FALSE)*('2. Customer Benefit Input'!$F103+'2. Customer Benefit Input'!H103)*'2. Customer Benefit Input'!N103),0)</f>
        <v>0</v>
      </c>
      <c r="L104" s="24">
        <f>IFERROR((VLOOKUP($D104,'0. Control Panel'!$C$7:$F$16,4,FALSE)*('2. Customer Benefit Input'!$F103+'2. Customer Benefit Input'!I103)*'2. Customer Benefit Input'!$L103)-(VLOOKUP($D104,'0. Control Panel'!$C$7:$F$16,4,FALSE)*('2. Customer Benefit Input'!$F103+'2. Customer Benefit Input'!I103)*'2. Customer Benefit Input'!O103),0)</f>
        <v>0</v>
      </c>
      <c r="M104" s="24">
        <f>IFERROR((VLOOKUP($D104,'0. Control Panel'!$C$7:$F$16,4,FALSE)*('2. Customer Benefit Input'!$F103+'2. Customer Benefit Input'!J103)*'2. Customer Benefit Input'!$L103)-(VLOOKUP($D104,'0. Control Panel'!$C$7:$F$16,4,FALSE)*('2. Customer Benefit Input'!$F103+'2. Customer Benefit Input'!J103)*'2. Customer Benefit Input'!P103),0)</f>
        <v>0</v>
      </c>
      <c r="N104" s="25"/>
      <c r="O104" s="24">
        <f>'2. Customer Benefit Input'!T111</f>
        <v>0</v>
      </c>
      <c r="P104" s="24">
        <f>'2. Customer Benefit Input'!U111</f>
        <v>0</v>
      </c>
      <c r="Q104" s="24">
        <f>'2. Customer Benefit Input'!V111</f>
        <v>0</v>
      </c>
      <c r="R104" s="25"/>
      <c r="S104" s="24">
        <f t="shared" si="105"/>
        <v>0</v>
      </c>
      <c r="T104" s="24">
        <f t="shared" si="102"/>
        <v>0</v>
      </c>
      <c r="U104" s="24">
        <f t="shared" si="103"/>
        <v>0</v>
      </c>
    </row>
    <row r="105" spans="1:21" s="1" customFormat="1" x14ac:dyDescent="0.25">
      <c r="A105" s="34" t="str">
        <f t="shared" si="104"/>
        <v>FinanceC8</v>
      </c>
      <c r="B105" s="34"/>
      <c r="C105" s="6">
        <f>IF(C104="-","-",IF(C104+1&gt;COUNTA('0. Control Panel'!$C$7:$C$16),"-",'2.1 Customer Benefit Output'!C104+1))</f>
        <v>7</v>
      </c>
      <c r="D105" s="16" t="str">
        <f>IF(C105="-","-",INDEX('0. Control Panel'!$B$6:$K$16,MATCH('2.1 Customer Benefit Output'!$C105,'0. Control Panel'!$B$6:$B$16,0),MATCH(D$7,'0. Control Panel'!$B$6:$K$6,0)))</f>
        <v>Finance</v>
      </c>
      <c r="E105" s="6"/>
      <c r="G105" s="24">
        <f>IFERROR(-VLOOKUP($D105,'0. Control Panel'!$C$7:$F$16,4,FALSE)*(('2. Customer Benefit Input'!$F104+'2. Customer Benefit Input'!H104)*'2. Customer Benefit Input'!$L104)+(VLOOKUP($D105,'0. Control Panel'!$C$7:$F$16,4,FALSE)*('2. Customer Benefit Input'!$F104*'2. Customer Benefit Input'!$L104)),0)</f>
        <v>0</v>
      </c>
      <c r="H105" s="24">
        <f>IFERROR(-VLOOKUP($D105,'0. Control Panel'!$C$7:$F$16,4,FALSE)*(('2. Customer Benefit Input'!$F104+'2. Customer Benefit Input'!I104)*'2. Customer Benefit Input'!$L104)+(VLOOKUP($D105,'0. Control Panel'!$C$7:$F$16,4,FALSE)*('2. Customer Benefit Input'!$F104*'2. Customer Benefit Input'!$L104)),0)</f>
        <v>0</v>
      </c>
      <c r="I105" s="24">
        <f>IFERROR(-VLOOKUP($D105,'0. Control Panel'!$C$7:$F$16,4,FALSE)*(('2. Customer Benefit Input'!$F104+'2. Customer Benefit Input'!J104)*'2. Customer Benefit Input'!$L104)+(VLOOKUP($D105,'0. Control Panel'!$C$7:$F$16,4,FALSE)*('2. Customer Benefit Input'!$F104*'2. Customer Benefit Input'!$L104)),0)</f>
        <v>0</v>
      </c>
      <c r="K105" s="24">
        <f>IFERROR((VLOOKUP($D105,'0. Control Panel'!$C$7:$F$16,4,FALSE)*('2. Customer Benefit Input'!$F104+'2. Customer Benefit Input'!H104)*'2. Customer Benefit Input'!$L104)-(VLOOKUP($D105,'0. Control Panel'!$C$7:$F$16,4,FALSE)*('2. Customer Benefit Input'!$F104+'2. Customer Benefit Input'!H104)*'2. Customer Benefit Input'!N104),0)</f>
        <v>0</v>
      </c>
      <c r="L105" s="24">
        <f>IFERROR((VLOOKUP($D105,'0. Control Panel'!$C$7:$F$16,4,FALSE)*('2. Customer Benefit Input'!$F104+'2. Customer Benefit Input'!I104)*'2. Customer Benefit Input'!$L104)-(VLOOKUP($D105,'0. Control Panel'!$C$7:$F$16,4,FALSE)*('2. Customer Benefit Input'!$F104+'2. Customer Benefit Input'!I104)*'2. Customer Benefit Input'!O104),0)</f>
        <v>0</v>
      </c>
      <c r="M105" s="24">
        <f>IFERROR((VLOOKUP($D105,'0. Control Panel'!$C$7:$F$16,4,FALSE)*('2. Customer Benefit Input'!$F104+'2. Customer Benefit Input'!J104)*'2. Customer Benefit Input'!$L104)-(VLOOKUP($D105,'0. Control Panel'!$C$7:$F$16,4,FALSE)*('2. Customer Benefit Input'!$F104+'2. Customer Benefit Input'!J104)*'2. Customer Benefit Input'!P104),0)</f>
        <v>0</v>
      </c>
      <c r="N105" s="25"/>
      <c r="O105" s="24">
        <f>'2. Customer Benefit Input'!T112</f>
        <v>0</v>
      </c>
      <c r="P105" s="24">
        <f>'2. Customer Benefit Input'!U112</f>
        <v>0</v>
      </c>
      <c r="Q105" s="24">
        <f>'2. Customer Benefit Input'!V112</f>
        <v>0</v>
      </c>
      <c r="R105" s="25"/>
      <c r="S105" s="24">
        <f t="shared" si="105"/>
        <v>0</v>
      </c>
      <c r="T105" s="24">
        <f t="shared" si="102"/>
        <v>0</v>
      </c>
      <c r="U105" s="24">
        <f t="shared" si="103"/>
        <v>0</v>
      </c>
    </row>
    <row r="106" spans="1:21" s="1" customFormat="1" x14ac:dyDescent="0.25">
      <c r="A106" s="34" t="str">
        <f t="shared" si="104"/>
        <v>Head OfficeC8</v>
      </c>
      <c r="B106" s="34"/>
      <c r="C106" s="6">
        <f>IF(C105="-","-",IF(C105+1&gt;COUNTA('0. Control Panel'!$C$7:$C$16),"-",'2.1 Customer Benefit Output'!C105+1))</f>
        <v>8</v>
      </c>
      <c r="D106" s="16" t="str">
        <f>IF(C106="-","-",INDEX('0. Control Panel'!$B$6:$K$16,MATCH('2.1 Customer Benefit Output'!$C106,'0. Control Panel'!$B$6:$B$16,0),MATCH(D$7,'0. Control Panel'!$B$6:$K$6,0)))</f>
        <v>Head Office</v>
      </c>
      <c r="E106" s="6"/>
      <c r="G106" s="24">
        <f>IFERROR(-VLOOKUP($D106,'0. Control Panel'!$C$7:$F$16,4,FALSE)*(('2. Customer Benefit Input'!$F105+'2. Customer Benefit Input'!H105)*'2. Customer Benefit Input'!$L105)+(VLOOKUP($D106,'0. Control Panel'!$C$7:$F$16,4,FALSE)*('2. Customer Benefit Input'!$F105*'2. Customer Benefit Input'!$L105)),0)</f>
        <v>0</v>
      </c>
      <c r="H106" s="24">
        <f>IFERROR(-VLOOKUP($D106,'0. Control Panel'!$C$7:$F$16,4,FALSE)*(('2. Customer Benefit Input'!$F105+'2. Customer Benefit Input'!I105)*'2. Customer Benefit Input'!$L105)+(VLOOKUP($D106,'0. Control Panel'!$C$7:$F$16,4,FALSE)*('2. Customer Benefit Input'!$F105*'2. Customer Benefit Input'!$L105)),0)</f>
        <v>0</v>
      </c>
      <c r="I106" s="24">
        <f>IFERROR(-VLOOKUP($D106,'0. Control Panel'!$C$7:$F$16,4,FALSE)*(('2. Customer Benefit Input'!$F105+'2. Customer Benefit Input'!J105)*'2. Customer Benefit Input'!$L105)+(VLOOKUP($D106,'0. Control Panel'!$C$7:$F$16,4,FALSE)*('2. Customer Benefit Input'!$F105*'2. Customer Benefit Input'!$L105)),0)</f>
        <v>0</v>
      </c>
      <c r="K106" s="24">
        <f>IFERROR((VLOOKUP($D106,'0. Control Panel'!$C$7:$F$16,4,FALSE)*('2. Customer Benefit Input'!$F105+'2. Customer Benefit Input'!H105)*'2. Customer Benefit Input'!$L105)-(VLOOKUP($D106,'0. Control Panel'!$C$7:$F$16,4,FALSE)*('2. Customer Benefit Input'!$F105+'2. Customer Benefit Input'!H105)*'2. Customer Benefit Input'!N105),0)</f>
        <v>0</v>
      </c>
      <c r="L106" s="24">
        <f>IFERROR((VLOOKUP($D106,'0. Control Panel'!$C$7:$F$16,4,FALSE)*('2. Customer Benefit Input'!$F105+'2. Customer Benefit Input'!I105)*'2. Customer Benefit Input'!$L105)-(VLOOKUP($D106,'0. Control Panel'!$C$7:$F$16,4,FALSE)*('2. Customer Benefit Input'!$F105+'2. Customer Benefit Input'!I105)*'2. Customer Benefit Input'!O105),0)</f>
        <v>0</v>
      </c>
      <c r="M106" s="24">
        <f>IFERROR((VLOOKUP($D106,'0. Control Panel'!$C$7:$F$16,4,FALSE)*('2. Customer Benefit Input'!$F105+'2. Customer Benefit Input'!J105)*'2. Customer Benefit Input'!$L105)-(VLOOKUP($D106,'0. Control Panel'!$C$7:$F$16,4,FALSE)*('2. Customer Benefit Input'!$F105+'2. Customer Benefit Input'!J105)*'2. Customer Benefit Input'!P105),0)</f>
        <v>0</v>
      </c>
      <c r="N106" s="25"/>
      <c r="O106" s="24">
        <f>'2. Customer Benefit Input'!T113</f>
        <v>0</v>
      </c>
      <c r="P106" s="24">
        <f>'2. Customer Benefit Input'!U113</f>
        <v>0</v>
      </c>
      <c r="Q106" s="24">
        <f>'2. Customer Benefit Input'!V113</f>
        <v>0</v>
      </c>
      <c r="R106" s="25"/>
      <c r="S106" s="24">
        <f t="shared" si="105"/>
        <v>0</v>
      </c>
      <c r="T106" s="24">
        <f t="shared" si="102"/>
        <v>0</v>
      </c>
      <c r="U106" s="24">
        <f t="shared" si="103"/>
        <v>0</v>
      </c>
    </row>
    <row r="107" spans="1:21" s="1" customFormat="1" x14ac:dyDescent="0.25">
      <c r="A107" s="34" t="str">
        <f t="shared" si="104"/>
        <v>-C8</v>
      </c>
      <c r="B107" s="34"/>
      <c r="C107" s="6" t="str">
        <f>IF(C106="-","-",IF(C106+1&gt;COUNTA('0. Control Panel'!$C$7:$C$16),"-",'2.1 Customer Benefit Output'!C106+1))</f>
        <v>-</v>
      </c>
      <c r="D107" s="16" t="str">
        <f>IF(C107="-","-",INDEX('0. Control Panel'!$B$6:$K$16,MATCH('2.1 Customer Benefit Output'!$C107,'0. Control Panel'!$B$6:$B$16,0),MATCH(D$7,'0. Control Panel'!$B$6:$K$6,0)))</f>
        <v>-</v>
      </c>
      <c r="E107" s="6"/>
      <c r="G107" s="24">
        <f>IFERROR(-VLOOKUP($D107,'0. Control Panel'!$C$7:$F$16,4,FALSE)*(('2. Customer Benefit Input'!$F106+'2. Customer Benefit Input'!H106)*'2. Customer Benefit Input'!$L106)+(VLOOKUP($D107,'0. Control Panel'!$C$7:$F$16,4,FALSE)*('2. Customer Benefit Input'!$F106*'2. Customer Benefit Input'!$L106)),0)</f>
        <v>0</v>
      </c>
      <c r="H107" s="24">
        <f>IFERROR(-VLOOKUP($D107,'0. Control Panel'!$C$7:$F$16,4,FALSE)*(('2. Customer Benefit Input'!$F106+'2. Customer Benefit Input'!I106)*'2. Customer Benefit Input'!$L106)+(VLOOKUP($D107,'0. Control Panel'!$C$7:$F$16,4,FALSE)*('2. Customer Benefit Input'!$F106*'2. Customer Benefit Input'!$L106)),0)</f>
        <v>0</v>
      </c>
      <c r="I107" s="24">
        <f>IFERROR(-VLOOKUP($D107,'0. Control Panel'!$C$7:$F$16,4,FALSE)*(('2. Customer Benefit Input'!$F106+'2. Customer Benefit Input'!J106)*'2. Customer Benefit Input'!$L106)+(VLOOKUP($D107,'0. Control Panel'!$C$7:$F$16,4,FALSE)*('2. Customer Benefit Input'!$F106*'2. Customer Benefit Input'!$L106)),0)</f>
        <v>0</v>
      </c>
      <c r="K107" s="24">
        <f>IFERROR((VLOOKUP($D107,'0. Control Panel'!$C$7:$F$16,4,FALSE)*('2. Customer Benefit Input'!$F106+'2. Customer Benefit Input'!H106)*'2. Customer Benefit Input'!$L106)-(VLOOKUP($D107,'0. Control Panel'!$C$7:$F$16,4,FALSE)*('2. Customer Benefit Input'!$F106+'2. Customer Benefit Input'!H106)*'2. Customer Benefit Input'!N106),0)</f>
        <v>0</v>
      </c>
      <c r="L107" s="24">
        <f>IFERROR((VLOOKUP($D107,'0. Control Panel'!$C$7:$F$16,4,FALSE)*('2. Customer Benefit Input'!$F106+'2. Customer Benefit Input'!I106)*'2. Customer Benefit Input'!$L106)-(VLOOKUP($D107,'0. Control Panel'!$C$7:$F$16,4,FALSE)*('2. Customer Benefit Input'!$F106+'2. Customer Benefit Input'!I106)*'2. Customer Benefit Input'!O106),0)</f>
        <v>0</v>
      </c>
      <c r="M107" s="24">
        <f>IFERROR((VLOOKUP($D107,'0. Control Panel'!$C$7:$F$16,4,FALSE)*('2. Customer Benefit Input'!$F106+'2. Customer Benefit Input'!J106)*'2. Customer Benefit Input'!$L106)-(VLOOKUP($D107,'0. Control Panel'!$C$7:$F$16,4,FALSE)*('2. Customer Benefit Input'!$F106+'2. Customer Benefit Input'!J106)*'2. Customer Benefit Input'!P106),0)</f>
        <v>0</v>
      </c>
      <c r="N107" s="25"/>
      <c r="O107" s="24">
        <f>'2. Customer Benefit Input'!T114</f>
        <v>0</v>
      </c>
      <c r="P107" s="24">
        <f>'2. Customer Benefit Input'!U114</f>
        <v>0</v>
      </c>
      <c r="Q107" s="24">
        <f>'2. Customer Benefit Input'!V114</f>
        <v>0</v>
      </c>
      <c r="R107" s="25"/>
      <c r="S107" s="24">
        <f t="shared" si="105"/>
        <v>0</v>
      </c>
      <c r="T107" s="24">
        <f t="shared" si="102"/>
        <v>0</v>
      </c>
      <c r="U107" s="24">
        <f t="shared" si="103"/>
        <v>0</v>
      </c>
    </row>
    <row r="108" spans="1:21" s="1" customFormat="1" x14ac:dyDescent="0.25">
      <c r="A108" s="34" t="str">
        <f t="shared" si="104"/>
        <v>-C8</v>
      </c>
      <c r="B108" s="34"/>
      <c r="C108" s="7" t="str">
        <f>IF(C107="-","-",IF(C107+1&gt;COUNTA('0. Control Panel'!$C$7:$C$16),"-",'2.1 Customer Benefit Output'!C107+1))</f>
        <v>-</v>
      </c>
      <c r="D108" s="17" t="str">
        <f>IF(C108="-","-",INDEX('0. Control Panel'!$B$6:$K$16,MATCH('2.1 Customer Benefit Output'!$C108,'0. Control Panel'!$B$6:$B$16,0),MATCH(D$7,'0. Control Panel'!$B$6:$K$6,0)))</f>
        <v>-</v>
      </c>
      <c r="E108" s="7"/>
      <c r="G108" s="24">
        <f>IFERROR(-VLOOKUP($D108,'0. Control Panel'!$C$7:$F$16,4,FALSE)*(('2. Customer Benefit Input'!$F107+'2. Customer Benefit Input'!H107)*'2. Customer Benefit Input'!$L107)+(VLOOKUP($D108,'0. Control Panel'!$C$7:$F$16,4,FALSE)*('2. Customer Benefit Input'!$F107*'2. Customer Benefit Input'!$L107)),0)</f>
        <v>0</v>
      </c>
      <c r="H108" s="24">
        <f>IFERROR(-VLOOKUP($D108,'0. Control Panel'!$C$7:$F$16,4,FALSE)*(('2. Customer Benefit Input'!$F107+'2. Customer Benefit Input'!I107)*'2. Customer Benefit Input'!$L107)+(VLOOKUP($D108,'0. Control Panel'!$C$7:$F$16,4,FALSE)*('2. Customer Benefit Input'!$F107*'2. Customer Benefit Input'!$L107)),0)</f>
        <v>0</v>
      </c>
      <c r="I108" s="24">
        <f>IFERROR(-VLOOKUP($D108,'0. Control Panel'!$C$7:$F$16,4,FALSE)*(('2. Customer Benefit Input'!$F107+'2. Customer Benefit Input'!J107)*'2. Customer Benefit Input'!$L107)+(VLOOKUP($D108,'0. Control Panel'!$C$7:$F$16,4,FALSE)*('2. Customer Benefit Input'!$F107*'2. Customer Benefit Input'!$L107)),0)</f>
        <v>0</v>
      </c>
      <c r="K108" s="24">
        <f>IFERROR((VLOOKUP($D108,'0. Control Panel'!$C$7:$F$16,4,FALSE)*('2. Customer Benefit Input'!$F107+'2. Customer Benefit Input'!H107)*'2. Customer Benefit Input'!$L107)-(VLOOKUP($D108,'0. Control Panel'!$C$7:$F$16,4,FALSE)*('2. Customer Benefit Input'!$F107+'2. Customer Benefit Input'!H107)*'2. Customer Benefit Input'!N107),0)</f>
        <v>0</v>
      </c>
      <c r="L108" s="24">
        <f>IFERROR((VLOOKUP($D108,'0. Control Panel'!$C$7:$F$16,4,FALSE)*('2. Customer Benefit Input'!$F107+'2. Customer Benefit Input'!I107)*'2. Customer Benefit Input'!$L107)-(VLOOKUP($D108,'0. Control Panel'!$C$7:$F$16,4,FALSE)*('2. Customer Benefit Input'!$F107+'2. Customer Benefit Input'!I107)*'2. Customer Benefit Input'!O107),0)</f>
        <v>0</v>
      </c>
      <c r="M108" s="24">
        <f>IFERROR((VLOOKUP($D108,'0. Control Panel'!$C$7:$F$16,4,FALSE)*('2. Customer Benefit Input'!$F107+'2. Customer Benefit Input'!J107)*'2. Customer Benefit Input'!$L107)-(VLOOKUP($D108,'0. Control Panel'!$C$7:$F$16,4,FALSE)*('2. Customer Benefit Input'!$F107+'2. Customer Benefit Input'!J107)*'2. Customer Benefit Input'!P107),0)</f>
        <v>0</v>
      </c>
      <c r="N108" s="25"/>
      <c r="O108" s="24">
        <f>'2. Customer Benefit Input'!T115</f>
        <v>0</v>
      </c>
      <c r="P108" s="24">
        <f>'2. Customer Benefit Input'!U115</f>
        <v>0</v>
      </c>
      <c r="Q108" s="24">
        <f>'2. Customer Benefit Input'!V115</f>
        <v>0</v>
      </c>
      <c r="R108" s="25"/>
      <c r="S108" s="24">
        <f t="shared" si="105"/>
        <v>0</v>
      </c>
      <c r="T108" s="24">
        <f t="shared" si="102"/>
        <v>0</v>
      </c>
      <c r="U108" s="24">
        <f t="shared" si="103"/>
        <v>0</v>
      </c>
    </row>
    <row r="109" spans="1:21" ht="16.5" thickBot="1" x14ac:dyDescent="0.3">
      <c r="A109" s="34" t="str">
        <f>D109&amp;$C$98</f>
        <v>All Departments/FunctionsC8</v>
      </c>
      <c r="B109" s="34"/>
      <c r="C109" s="23"/>
      <c r="D109" s="27" t="str">
        <f>D96</f>
        <v>All Departments/Functions</v>
      </c>
      <c r="E109" s="23"/>
      <c r="F109" s="23"/>
      <c r="G109" s="28">
        <f>SUM(G99:G108)</f>
        <v>0</v>
      </c>
      <c r="H109" s="28">
        <f t="shared" ref="H109" si="106">SUM(H99:H108)</f>
        <v>0</v>
      </c>
      <c r="I109" s="28">
        <f t="shared" ref="I109" si="107">SUM(I99:I108)</f>
        <v>0</v>
      </c>
      <c r="J109" s="23"/>
      <c r="K109" s="28">
        <f>SUM(K99:K108)</f>
        <v>0</v>
      </c>
      <c r="L109" s="28">
        <f t="shared" ref="L109" si="108">SUM(L99:L108)</f>
        <v>0</v>
      </c>
      <c r="M109" s="28">
        <f t="shared" ref="M109" si="109">SUM(M99:M108)</f>
        <v>0</v>
      </c>
      <c r="N109" s="29"/>
      <c r="O109" s="28">
        <f t="shared" ref="O109" si="110">SUM(O99:O108)</f>
        <v>0</v>
      </c>
      <c r="P109" s="28">
        <f t="shared" ref="P109" si="111">SUM(P99:P108)</f>
        <v>0</v>
      </c>
      <c r="Q109" s="28">
        <f t="shared" ref="Q109" si="112">SUM(Q99:Q108)</f>
        <v>0</v>
      </c>
      <c r="R109" s="29"/>
      <c r="S109" s="28">
        <f t="shared" ref="S109" si="113">SUM(S99:S108)</f>
        <v>0</v>
      </c>
      <c r="T109" s="28">
        <f t="shared" ref="T109" si="114">SUM(T99:T108)</f>
        <v>0</v>
      </c>
      <c r="U109" s="28">
        <f t="shared" ref="U109" si="115">SUM(U99:U108)</f>
        <v>0</v>
      </c>
    </row>
    <row r="110" spans="1:21" s="1" customFormat="1" ht="16.5" thickTop="1" x14ac:dyDescent="0.25">
      <c r="A110" s="34"/>
      <c r="B110" s="34"/>
      <c r="G110" s="26"/>
      <c r="H110" s="26"/>
      <c r="I110" s="26"/>
      <c r="K110" s="26"/>
      <c r="L110" s="26"/>
      <c r="M110" s="26"/>
      <c r="N110" s="26"/>
      <c r="O110" s="26"/>
      <c r="P110" s="26"/>
      <c r="Q110" s="26"/>
      <c r="R110" s="26"/>
      <c r="S110" s="26"/>
      <c r="T110" s="26"/>
      <c r="U110" s="26"/>
    </row>
    <row r="111" spans="1:21" s="1" customFormat="1" ht="15.95" customHeight="1" x14ac:dyDescent="0.25">
      <c r="A111" s="34"/>
      <c r="B111" s="34"/>
      <c r="C111" s="12" t="s">
        <v>20</v>
      </c>
      <c r="D111" s="30" t="str">
        <f>IF(INDEX('0. Control Panel'!$B$19:$C$29,MATCH('2.1 Customer Benefit Output'!$C111,'0. Control Panel'!$B$19:$B$29,0),2)="","n/a",INDEX('0. Control Panel'!$B$19:$C$29,MATCH('2.1 Customer Benefit Output'!$C111,'0. Control Panel'!$B$19:$B$29,0),2))</f>
        <v>n/a</v>
      </c>
      <c r="F111"/>
      <c r="G111" s="26"/>
      <c r="H111" s="26"/>
      <c r="I111" s="26"/>
      <c r="J111"/>
      <c r="K111" s="26"/>
      <c r="L111" s="26"/>
      <c r="M111" s="26"/>
      <c r="N111" s="26"/>
      <c r="O111" s="26"/>
      <c r="P111" s="26"/>
      <c r="Q111" s="26"/>
      <c r="R111" s="26"/>
      <c r="S111" s="26"/>
      <c r="T111" s="26"/>
      <c r="U111" s="26"/>
    </row>
    <row r="112" spans="1:21" s="1" customFormat="1" x14ac:dyDescent="0.25">
      <c r="A112" s="34" t="str">
        <f>D112&amp;$C$111</f>
        <v>ITC9</v>
      </c>
      <c r="B112" s="34"/>
      <c r="C112" s="5">
        <v>1</v>
      </c>
      <c r="D112" s="15" t="str">
        <f>IF(C112="-","-",INDEX('0. Control Panel'!$B$6:$K$16,MATCH('2.1 Customer Benefit Output'!$C112,'0. Control Panel'!$B$6:$B$16,0),MATCH(D$7,'0. Control Panel'!$B$6:$K$6,0)))</f>
        <v>IT</v>
      </c>
      <c r="E112" s="5"/>
      <c r="G112" s="24">
        <f>IFERROR(-VLOOKUP($D112,'0. Control Panel'!$C$7:$F$16,4,FALSE)*(('2. Customer Benefit Input'!$F111+'2. Customer Benefit Input'!H111)*'2. Customer Benefit Input'!$L111)+(VLOOKUP($D112,'0. Control Panel'!$C$7:$F$16,4,FALSE)*('2. Customer Benefit Input'!$F111*'2. Customer Benefit Input'!$L111)),0)</f>
        <v>0</v>
      </c>
      <c r="H112" s="24">
        <f>IFERROR(-VLOOKUP($D112,'0. Control Panel'!$C$7:$F$16,4,FALSE)*(('2. Customer Benefit Input'!$F111+'2. Customer Benefit Input'!I111)*'2. Customer Benefit Input'!$L111)+(VLOOKUP($D112,'0. Control Panel'!$C$7:$F$16,4,FALSE)*('2. Customer Benefit Input'!$F111*'2. Customer Benefit Input'!$L111)),0)</f>
        <v>0</v>
      </c>
      <c r="I112" s="24">
        <f>IFERROR(-VLOOKUP($D112,'0. Control Panel'!$C$7:$F$16,4,FALSE)*(('2. Customer Benefit Input'!$F111+'2. Customer Benefit Input'!J111)*'2. Customer Benefit Input'!$L111)+(VLOOKUP($D112,'0. Control Panel'!$C$7:$F$16,4,FALSE)*('2. Customer Benefit Input'!$F111*'2. Customer Benefit Input'!$L111)),0)</f>
        <v>0</v>
      </c>
      <c r="K112" s="24">
        <f>IFERROR((VLOOKUP($D112,'0. Control Panel'!$C$7:$F$16,4,FALSE)*('2. Customer Benefit Input'!$F111+'2. Customer Benefit Input'!H111)*'2. Customer Benefit Input'!$L111)-(VLOOKUP($D112,'0. Control Panel'!$C$7:$F$16,4,FALSE)*('2. Customer Benefit Input'!$F111+'2. Customer Benefit Input'!H111)*'2. Customer Benefit Input'!N111),0)</f>
        <v>0</v>
      </c>
      <c r="L112" s="24">
        <f>IFERROR((VLOOKUP($D112,'0. Control Panel'!$C$7:$F$16,4,FALSE)*('2. Customer Benefit Input'!$F111+'2. Customer Benefit Input'!I111)*'2. Customer Benefit Input'!$L111)-(VLOOKUP($D112,'0. Control Panel'!$C$7:$F$16,4,FALSE)*('2. Customer Benefit Input'!$F111+'2. Customer Benefit Input'!I111)*'2. Customer Benefit Input'!O111),0)</f>
        <v>0</v>
      </c>
      <c r="M112" s="24">
        <f>IFERROR((VLOOKUP($D112,'0. Control Panel'!$C$7:$F$16,4,FALSE)*('2. Customer Benefit Input'!$F111+'2. Customer Benefit Input'!J111)*'2. Customer Benefit Input'!$L111)-(VLOOKUP($D112,'0. Control Panel'!$C$7:$F$16,4,FALSE)*('2. Customer Benefit Input'!$F111+'2. Customer Benefit Input'!J111)*'2. Customer Benefit Input'!P111),0)</f>
        <v>0</v>
      </c>
      <c r="N112" s="25"/>
      <c r="O112" s="24">
        <f>'2. Customer Benefit Input'!T111</f>
        <v>0</v>
      </c>
      <c r="P112" s="24">
        <f>'2. Customer Benefit Input'!U111</f>
        <v>0</v>
      </c>
      <c r="Q112" s="24">
        <f>'2. Customer Benefit Input'!V111</f>
        <v>0</v>
      </c>
      <c r="R112" s="25"/>
      <c r="S112" s="24">
        <f>SUM(G112,K112,O112)</f>
        <v>0</v>
      </c>
      <c r="T112" s="24">
        <f t="shared" ref="T112:T121" si="116">SUM(H112,L112,P112)</f>
        <v>0</v>
      </c>
      <c r="U112" s="24">
        <f t="shared" ref="U112:U121" si="117">SUM(I112,M112,Q112)</f>
        <v>0</v>
      </c>
    </row>
    <row r="113" spans="1:21" s="1" customFormat="1" x14ac:dyDescent="0.25">
      <c r="A113" s="34" t="str">
        <f t="shared" ref="A113:A121" si="118">D113&amp;$C$111</f>
        <v>SalesC9</v>
      </c>
      <c r="B113" s="34"/>
      <c r="C113" s="6">
        <f>IF(C112="-","-",IF(C112+1&gt;COUNTA('0. Control Panel'!$C$7:$C$16),"-",'2.1 Customer Benefit Output'!C112+1))</f>
        <v>2</v>
      </c>
      <c r="D113" s="16" t="str">
        <f>IF(C113="-","-",INDEX('0. Control Panel'!$B$6:$K$16,MATCH('2.1 Customer Benefit Output'!$C113,'0. Control Panel'!$B$6:$B$16,0),MATCH(D$7,'0. Control Panel'!$B$6:$K$6,0)))</f>
        <v>Sales</v>
      </c>
      <c r="E113" s="6"/>
      <c r="G113" s="24">
        <f>IFERROR(-VLOOKUP($D113,'0. Control Panel'!$C$7:$F$16,4,FALSE)*(('2. Customer Benefit Input'!$F112+'2. Customer Benefit Input'!H112)*'2. Customer Benefit Input'!$L112)+(VLOOKUP($D113,'0. Control Panel'!$C$7:$F$16,4,FALSE)*('2. Customer Benefit Input'!$F112*'2. Customer Benefit Input'!$L112)),0)</f>
        <v>0</v>
      </c>
      <c r="H113" s="24">
        <f>IFERROR(-VLOOKUP($D113,'0. Control Panel'!$C$7:$F$16,4,FALSE)*(('2. Customer Benefit Input'!$F112+'2. Customer Benefit Input'!I112)*'2. Customer Benefit Input'!$L112)+(VLOOKUP($D113,'0. Control Panel'!$C$7:$F$16,4,FALSE)*('2. Customer Benefit Input'!$F112*'2. Customer Benefit Input'!$L112)),0)</f>
        <v>0</v>
      </c>
      <c r="I113" s="24">
        <f>IFERROR(-VLOOKUP($D113,'0. Control Panel'!$C$7:$F$16,4,FALSE)*(('2. Customer Benefit Input'!$F112+'2. Customer Benefit Input'!J112)*'2. Customer Benefit Input'!$L112)+(VLOOKUP($D113,'0. Control Panel'!$C$7:$F$16,4,FALSE)*('2. Customer Benefit Input'!$F112*'2. Customer Benefit Input'!$L112)),0)</f>
        <v>0</v>
      </c>
      <c r="K113" s="24">
        <f>IFERROR((VLOOKUP($D113,'0. Control Panel'!$C$7:$F$16,4,FALSE)*('2. Customer Benefit Input'!$F112+'2. Customer Benefit Input'!H112)*'2. Customer Benefit Input'!$L112)-(VLOOKUP($D113,'0. Control Panel'!$C$7:$F$16,4,FALSE)*('2. Customer Benefit Input'!$F112+'2. Customer Benefit Input'!H112)*'2. Customer Benefit Input'!N112),0)</f>
        <v>0</v>
      </c>
      <c r="L113" s="24">
        <f>IFERROR((VLOOKUP($D113,'0. Control Panel'!$C$7:$F$16,4,FALSE)*('2. Customer Benefit Input'!$F112+'2. Customer Benefit Input'!I112)*'2. Customer Benefit Input'!$L112)-(VLOOKUP($D113,'0. Control Panel'!$C$7:$F$16,4,FALSE)*('2. Customer Benefit Input'!$F112+'2. Customer Benefit Input'!I112)*'2. Customer Benefit Input'!O112),0)</f>
        <v>0</v>
      </c>
      <c r="M113" s="24">
        <f>IFERROR((VLOOKUP($D113,'0. Control Panel'!$C$7:$F$16,4,FALSE)*('2. Customer Benefit Input'!$F112+'2. Customer Benefit Input'!J112)*'2. Customer Benefit Input'!$L112)-(VLOOKUP($D113,'0. Control Panel'!$C$7:$F$16,4,FALSE)*('2. Customer Benefit Input'!$F112+'2. Customer Benefit Input'!J112)*'2. Customer Benefit Input'!P112),0)</f>
        <v>0</v>
      </c>
      <c r="N113" s="25"/>
      <c r="O113" s="24">
        <f>'2. Customer Benefit Input'!T112</f>
        <v>0</v>
      </c>
      <c r="P113" s="24">
        <f>'2. Customer Benefit Input'!U112</f>
        <v>0</v>
      </c>
      <c r="Q113" s="24">
        <f>'2. Customer Benefit Input'!V112</f>
        <v>0</v>
      </c>
      <c r="R113" s="25"/>
      <c r="S113" s="24">
        <f t="shared" ref="S113:S121" si="119">SUM(G113,K113,O113)</f>
        <v>0</v>
      </c>
      <c r="T113" s="24">
        <f t="shared" si="116"/>
        <v>0</v>
      </c>
      <c r="U113" s="24">
        <f t="shared" si="117"/>
        <v>0</v>
      </c>
    </row>
    <row r="114" spans="1:21" s="1" customFormat="1" x14ac:dyDescent="0.25">
      <c r="A114" s="34" t="str">
        <f t="shared" si="118"/>
        <v>Product AC9</v>
      </c>
      <c r="B114" s="34"/>
      <c r="C114" s="6">
        <f>IF(C113="-","-",IF(C113+1&gt;COUNTA('0. Control Panel'!$C$7:$C$16),"-",'2.1 Customer Benefit Output'!C113+1))</f>
        <v>3</v>
      </c>
      <c r="D114" s="16" t="str">
        <f>IF(C114="-","-",INDEX('0. Control Panel'!$B$6:$K$16,MATCH('2.1 Customer Benefit Output'!$C114,'0. Control Panel'!$B$6:$B$16,0),MATCH(D$7,'0. Control Panel'!$B$6:$K$6,0)))</f>
        <v>Product A</v>
      </c>
      <c r="E114" s="6"/>
      <c r="G114" s="24">
        <f>IFERROR(-VLOOKUP($D114,'0. Control Panel'!$C$7:$F$16,4,FALSE)*(('2. Customer Benefit Input'!$F113+'2. Customer Benefit Input'!H113)*'2. Customer Benefit Input'!$L113)+(VLOOKUP($D114,'0. Control Panel'!$C$7:$F$16,4,FALSE)*('2. Customer Benefit Input'!$F113*'2. Customer Benefit Input'!$L113)),0)</f>
        <v>0</v>
      </c>
      <c r="H114" s="24">
        <f>IFERROR(-VLOOKUP($D114,'0. Control Panel'!$C$7:$F$16,4,FALSE)*(('2. Customer Benefit Input'!$F113+'2. Customer Benefit Input'!I113)*'2. Customer Benefit Input'!$L113)+(VLOOKUP($D114,'0. Control Panel'!$C$7:$F$16,4,FALSE)*('2. Customer Benefit Input'!$F113*'2. Customer Benefit Input'!$L113)),0)</f>
        <v>0</v>
      </c>
      <c r="I114" s="24">
        <f>IFERROR(-VLOOKUP($D114,'0. Control Panel'!$C$7:$F$16,4,FALSE)*(('2. Customer Benefit Input'!$F113+'2. Customer Benefit Input'!J113)*'2. Customer Benefit Input'!$L113)+(VLOOKUP($D114,'0. Control Panel'!$C$7:$F$16,4,FALSE)*('2. Customer Benefit Input'!$F113*'2. Customer Benefit Input'!$L113)),0)</f>
        <v>0</v>
      </c>
      <c r="K114" s="24">
        <f>IFERROR((VLOOKUP($D114,'0. Control Panel'!$C$7:$F$16,4,FALSE)*('2. Customer Benefit Input'!$F113+'2. Customer Benefit Input'!H113)*'2. Customer Benefit Input'!$L113)-(VLOOKUP($D114,'0. Control Panel'!$C$7:$F$16,4,FALSE)*('2. Customer Benefit Input'!$F113+'2. Customer Benefit Input'!H113)*'2. Customer Benefit Input'!N113),0)</f>
        <v>0</v>
      </c>
      <c r="L114" s="24">
        <f>IFERROR((VLOOKUP($D114,'0. Control Panel'!$C$7:$F$16,4,FALSE)*('2. Customer Benefit Input'!$F113+'2. Customer Benefit Input'!I113)*'2. Customer Benefit Input'!$L113)-(VLOOKUP($D114,'0. Control Panel'!$C$7:$F$16,4,FALSE)*('2. Customer Benefit Input'!$F113+'2. Customer Benefit Input'!I113)*'2. Customer Benefit Input'!O113),0)</f>
        <v>0</v>
      </c>
      <c r="M114" s="24">
        <f>IFERROR((VLOOKUP($D114,'0. Control Panel'!$C$7:$F$16,4,FALSE)*('2. Customer Benefit Input'!$F113+'2. Customer Benefit Input'!J113)*'2. Customer Benefit Input'!$L113)-(VLOOKUP($D114,'0. Control Panel'!$C$7:$F$16,4,FALSE)*('2. Customer Benefit Input'!$F113+'2. Customer Benefit Input'!J113)*'2. Customer Benefit Input'!P113),0)</f>
        <v>0</v>
      </c>
      <c r="N114" s="25"/>
      <c r="O114" s="24">
        <f>'2. Customer Benefit Input'!T113</f>
        <v>0</v>
      </c>
      <c r="P114" s="24">
        <f>'2. Customer Benefit Input'!U113</f>
        <v>0</v>
      </c>
      <c r="Q114" s="24">
        <f>'2. Customer Benefit Input'!V113</f>
        <v>0</v>
      </c>
      <c r="R114" s="25"/>
      <c r="S114" s="24">
        <f t="shared" si="119"/>
        <v>0</v>
      </c>
      <c r="T114" s="24">
        <f t="shared" si="116"/>
        <v>0</v>
      </c>
      <c r="U114" s="24">
        <f t="shared" si="117"/>
        <v>0</v>
      </c>
    </row>
    <row r="115" spans="1:21" s="1" customFormat="1" x14ac:dyDescent="0.25">
      <c r="A115" s="34" t="str">
        <f t="shared" si="118"/>
        <v>Product BC9</v>
      </c>
      <c r="B115" s="34"/>
      <c r="C115" s="6">
        <f>IF(C114="-","-",IF(C114+1&gt;COUNTA('0. Control Panel'!$C$7:$C$16),"-",'2.1 Customer Benefit Output'!C114+1))</f>
        <v>4</v>
      </c>
      <c r="D115" s="16" t="str">
        <f>IF(C115="-","-",INDEX('0. Control Panel'!$B$6:$K$16,MATCH('2.1 Customer Benefit Output'!$C115,'0. Control Panel'!$B$6:$B$16,0),MATCH(D$7,'0. Control Panel'!$B$6:$K$6,0)))</f>
        <v>Product B</v>
      </c>
      <c r="E115" s="6"/>
      <c r="G115" s="24">
        <f>IFERROR(-VLOOKUP($D115,'0. Control Panel'!$C$7:$F$16,4,FALSE)*(('2. Customer Benefit Input'!$F114+'2. Customer Benefit Input'!H114)*'2. Customer Benefit Input'!$L114)+(VLOOKUP($D115,'0. Control Panel'!$C$7:$F$16,4,FALSE)*('2. Customer Benefit Input'!$F114*'2. Customer Benefit Input'!$L114)),0)</f>
        <v>0</v>
      </c>
      <c r="H115" s="24">
        <f>IFERROR(-VLOOKUP($D115,'0. Control Panel'!$C$7:$F$16,4,FALSE)*(('2. Customer Benefit Input'!$F114+'2. Customer Benefit Input'!I114)*'2. Customer Benefit Input'!$L114)+(VLOOKUP($D115,'0. Control Panel'!$C$7:$F$16,4,FALSE)*('2. Customer Benefit Input'!$F114*'2. Customer Benefit Input'!$L114)),0)</f>
        <v>0</v>
      </c>
      <c r="I115" s="24">
        <f>IFERROR(-VLOOKUP($D115,'0. Control Panel'!$C$7:$F$16,4,FALSE)*(('2. Customer Benefit Input'!$F114+'2. Customer Benefit Input'!J114)*'2. Customer Benefit Input'!$L114)+(VLOOKUP($D115,'0. Control Panel'!$C$7:$F$16,4,FALSE)*('2. Customer Benefit Input'!$F114*'2. Customer Benefit Input'!$L114)),0)</f>
        <v>0</v>
      </c>
      <c r="K115" s="24">
        <f>IFERROR((VLOOKUP($D115,'0. Control Panel'!$C$7:$F$16,4,FALSE)*('2. Customer Benefit Input'!$F114+'2. Customer Benefit Input'!H114)*'2. Customer Benefit Input'!$L114)-(VLOOKUP($D115,'0. Control Panel'!$C$7:$F$16,4,FALSE)*('2. Customer Benefit Input'!$F114+'2. Customer Benefit Input'!H114)*'2. Customer Benefit Input'!N114),0)</f>
        <v>0</v>
      </c>
      <c r="L115" s="24">
        <f>IFERROR((VLOOKUP($D115,'0. Control Panel'!$C$7:$F$16,4,FALSE)*('2. Customer Benefit Input'!$F114+'2. Customer Benefit Input'!I114)*'2. Customer Benefit Input'!$L114)-(VLOOKUP($D115,'0. Control Panel'!$C$7:$F$16,4,FALSE)*('2. Customer Benefit Input'!$F114+'2. Customer Benefit Input'!I114)*'2. Customer Benefit Input'!O114),0)</f>
        <v>0</v>
      </c>
      <c r="M115" s="24">
        <f>IFERROR((VLOOKUP($D115,'0. Control Panel'!$C$7:$F$16,4,FALSE)*('2. Customer Benefit Input'!$F114+'2. Customer Benefit Input'!J114)*'2. Customer Benefit Input'!$L114)-(VLOOKUP($D115,'0. Control Panel'!$C$7:$F$16,4,FALSE)*('2. Customer Benefit Input'!$F114+'2. Customer Benefit Input'!J114)*'2. Customer Benefit Input'!P114),0)</f>
        <v>0</v>
      </c>
      <c r="N115" s="25"/>
      <c r="O115" s="24">
        <f>'2. Customer Benefit Input'!T114</f>
        <v>0</v>
      </c>
      <c r="P115" s="24">
        <f>'2. Customer Benefit Input'!U114</f>
        <v>0</v>
      </c>
      <c r="Q115" s="24">
        <f>'2. Customer Benefit Input'!V114</f>
        <v>0</v>
      </c>
      <c r="R115" s="25"/>
      <c r="S115" s="24">
        <f t="shared" si="119"/>
        <v>0</v>
      </c>
      <c r="T115" s="24">
        <f t="shared" si="116"/>
        <v>0</v>
      </c>
      <c r="U115" s="24">
        <f t="shared" si="117"/>
        <v>0</v>
      </c>
    </row>
    <row r="116" spans="1:21" s="1" customFormat="1" x14ac:dyDescent="0.25">
      <c r="A116" s="34" t="str">
        <f t="shared" si="118"/>
        <v>R&amp;DC9</v>
      </c>
      <c r="B116" s="34"/>
      <c r="C116" s="6">
        <f>IF(C115="-","-",IF(C115+1&gt;COUNTA('0. Control Panel'!$C$7:$C$16),"-",'2.1 Customer Benefit Output'!C115+1))</f>
        <v>5</v>
      </c>
      <c r="D116" s="16" t="str">
        <f>IF(C116="-","-",INDEX('0. Control Panel'!$B$6:$K$16,MATCH('2.1 Customer Benefit Output'!$C116,'0. Control Panel'!$B$6:$B$16,0),MATCH(D$7,'0. Control Panel'!$B$6:$K$6,0)))</f>
        <v>R&amp;D</v>
      </c>
      <c r="E116" s="6"/>
      <c r="G116" s="24">
        <f>IFERROR(-VLOOKUP($D116,'0. Control Panel'!$C$7:$F$16,4,FALSE)*(('2. Customer Benefit Input'!$F115+'2. Customer Benefit Input'!H115)*'2. Customer Benefit Input'!$L115)+(VLOOKUP($D116,'0. Control Panel'!$C$7:$F$16,4,FALSE)*('2. Customer Benefit Input'!$F115*'2. Customer Benefit Input'!$L115)),0)</f>
        <v>0</v>
      </c>
      <c r="H116" s="24">
        <f>IFERROR(-VLOOKUP($D116,'0. Control Panel'!$C$7:$F$16,4,FALSE)*(('2. Customer Benefit Input'!$F115+'2. Customer Benefit Input'!I115)*'2. Customer Benefit Input'!$L115)+(VLOOKUP($D116,'0. Control Panel'!$C$7:$F$16,4,FALSE)*('2. Customer Benefit Input'!$F115*'2. Customer Benefit Input'!$L115)),0)</f>
        <v>0</v>
      </c>
      <c r="I116" s="24">
        <f>IFERROR(-VLOOKUP($D116,'0. Control Panel'!$C$7:$F$16,4,FALSE)*(('2. Customer Benefit Input'!$F115+'2. Customer Benefit Input'!J115)*'2. Customer Benefit Input'!$L115)+(VLOOKUP($D116,'0. Control Panel'!$C$7:$F$16,4,FALSE)*('2. Customer Benefit Input'!$F115*'2. Customer Benefit Input'!$L115)),0)</f>
        <v>0</v>
      </c>
      <c r="K116" s="24">
        <f>IFERROR((VLOOKUP($D116,'0. Control Panel'!$C$7:$F$16,4,FALSE)*('2. Customer Benefit Input'!$F115+'2. Customer Benefit Input'!H115)*'2. Customer Benefit Input'!$L115)-(VLOOKUP($D116,'0. Control Panel'!$C$7:$F$16,4,FALSE)*('2. Customer Benefit Input'!$F115+'2. Customer Benefit Input'!H115)*'2. Customer Benefit Input'!N115),0)</f>
        <v>0</v>
      </c>
      <c r="L116" s="24">
        <f>IFERROR((VLOOKUP($D116,'0. Control Panel'!$C$7:$F$16,4,FALSE)*('2. Customer Benefit Input'!$F115+'2. Customer Benefit Input'!I115)*'2. Customer Benefit Input'!$L115)-(VLOOKUP($D116,'0. Control Panel'!$C$7:$F$16,4,FALSE)*('2. Customer Benefit Input'!$F115+'2. Customer Benefit Input'!I115)*'2. Customer Benefit Input'!O115),0)</f>
        <v>0</v>
      </c>
      <c r="M116" s="24">
        <f>IFERROR((VLOOKUP($D116,'0. Control Panel'!$C$7:$F$16,4,FALSE)*('2. Customer Benefit Input'!$F115+'2. Customer Benefit Input'!J115)*'2. Customer Benefit Input'!$L115)-(VLOOKUP($D116,'0. Control Panel'!$C$7:$F$16,4,FALSE)*('2. Customer Benefit Input'!$F115+'2. Customer Benefit Input'!J115)*'2. Customer Benefit Input'!P115),0)</f>
        <v>0</v>
      </c>
      <c r="N116" s="25"/>
      <c r="O116" s="24">
        <f>'2. Customer Benefit Input'!T115</f>
        <v>0</v>
      </c>
      <c r="P116" s="24">
        <f>'2. Customer Benefit Input'!U115</f>
        <v>0</v>
      </c>
      <c r="Q116" s="24">
        <f>'2. Customer Benefit Input'!V115</f>
        <v>0</v>
      </c>
      <c r="R116" s="25"/>
      <c r="S116" s="24">
        <f t="shared" si="119"/>
        <v>0</v>
      </c>
      <c r="T116" s="24">
        <f t="shared" si="116"/>
        <v>0</v>
      </c>
      <c r="U116" s="24">
        <f t="shared" si="117"/>
        <v>0</v>
      </c>
    </row>
    <row r="117" spans="1:21" s="1" customFormat="1" x14ac:dyDescent="0.25">
      <c r="A117" s="34" t="str">
        <f t="shared" si="118"/>
        <v>HRC9</v>
      </c>
      <c r="B117" s="34"/>
      <c r="C117" s="6">
        <f>IF(C116="-","-",IF(C116+1&gt;COUNTA('0. Control Panel'!$C$7:$C$16),"-",'2.1 Customer Benefit Output'!C116+1))</f>
        <v>6</v>
      </c>
      <c r="D117" s="16" t="str">
        <f>IF(C117="-","-",INDEX('0. Control Panel'!$B$6:$K$16,MATCH('2.1 Customer Benefit Output'!$C117,'0. Control Panel'!$B$6:$B$16,0),MATCH(D$7,'0. Control Panel'!$B$6:$K$6,0)))</f>
        <v>HR</v>
      </c>
      <c r="E117" s="6"/>
      <c r="G117" s="24">
        <f>IFERROR(-VLOOKUP($D117,'0. Control Panel'!$C$7:$F$16,4,FALSE)*(('2. Customer Benefit Input'!$F116+'2. Customer Benefit Input'!H116)*'2. Customer Benefit Input'!$L116)+(VLOOKUP($D117,'0. Control Panel'!$C$7:$F$16,4,FALSE)*('2. Customer Benefit Input'!$F116*'2. Customer Benefit Input'!$L116)),0)</f>
        <v>0</v>
      </c>
      <c r="H117" s="24">
        <f>IFERROR(-VLOOKUP($D117,'0. Control Panel'!$C$7:$F$16,4,FALSE)*(('2. Customer Benefit Input'!$F116+'2. Customer Benefit Input'!I116)*'2. Customer Benefit Input'!$L116)+(VLOOKUP($D117,'0. Control Panel'!$C$7:$F$16,4,FALSE)*('2. Customer Benefit Input'!$F116*'2. Customer Benefit Input'!$L116)),0)</f>
        <v>0</v>
      </c>
      <c r="I117" s="24">
        <f>IFERROR(-VLOOKUP($D117,'0. Control Panel'!$C$7:$F$16,4,FALSE)*(('2. Customer Benefit Input'!$F116+'2. Customer Benefit Input'!J116)*'2. Customer Benefit Input'!$L116)+(VLOOKUP($D117,'0. Control Panel'!$C$7:$F$16,4,FALSE)*('2. Customer Benefit Input'!$F116*'2. Customer Benefit Input'!$L116)),0)</f>
        <v>0</v>
      </c>
      <c r="K117" s="24">
        <f>IFERROR((VLOOKUP($D117,'0. Control Panel'!$C$7:$F$16,4,FALSE)*('2. Customer Benefit Input'!$F116+'2. Customer Benefit Input'!H116)*'2. Customer Benefit Input'!$L116)-(VLOOKUP($D117,'0. Control Panel'!$C$7:$F$16,4,FALSE)*('2. Customer Benefit Input'!$F116+'2. Customer Benefit Input'!H116)*'2. Customer Benefit Input'!N116),0)</f>
        <v>0</v>
      </c>
      <c r="L117" s="24">
        <f>IFERROR((VLOOKUP($D117,'0. Control Panel'!$C$7:$F$16,4,FALSE)*('2. Customer Benefit Input'!$F116+'2. Customer Benefit Input'!I116)*'2. Customer Benefit Input'!$L116)-(VLOOKUP($D117,'0. Control Panel'!$C$7:$F$16,4,FALSE)*('2. Customer Benefit Input'!$F116+'2. Customer Benefit Input'!I116)*'2. Customer Benefit Input'!O116),0)</f>
        <v>0</v>
      </c>
      <c r="M117" s="24">
        <f>IFERROR((VLOOKUP($D117,'0. Control Panel'!$C$7:$F$16,4,FALSE)*('2. Customer Benefit Input'!$F116+'2. Customer Benefit Input'!J116)*'2. Customer Benefit Input'!$L116)-(VLOOKUP($D117,'0. Control Panel'!$C$7:$F$16,4,FALSE)*('2. Customer Benefit Input'!$F116+'2. Customer Benefit Input'!J116)*'2. Customer Benefit Input'!P116),0)</f>
        <v>0</v>
      </c>
      <c r="N117" s="25"/>
      <c r="O117" s="24">
        <f>'2. Customer Benefit Input'!T116</f>
        <v>0</v>
      </c>
      <c r="P117" s="24">
        <f>'2. Customer Benefit Input'!U116</f>
        <v>0</v>
      </c>
      <c r="Q117" s="24">
        <f>'2. Customer Benefit Input'!V116</f>
        <v>0</v>
      </c>
      <c r="R117" s="25"/>
      <c r="S117" s="24">
        <f t="shared" si="119"/>
        <v>0</v>
      </c>
      <c r="T117" s="24">
        <f t="shared" si="116"/>
        <v>0</v>
      </c>
      <c r="U117" s="24">
        <f t="shared" si="117"/>
        <v>0</v>
      </c>
    </row>
    <row r="118" spans="1:21" x14ac:dyDescent="0.25">
      <c r="A118" s="34" t="str">
        <f t="shared" si="118"/>
        <v>FinanceC9</v>
      </c>
      <c r="B118" s="34"/>
      <c r="C118" s="6">
        <f>IF(C117="-","-",IF(C117+1&gt;COUNTA('0. Control Panel'!$C$7:$C$16),"-",'2.1 Customer Benefit Output'!C117+1))</f>
        <v>7</v>
      </c>
      <c r="D118" s="16" t="str">
        <f>IF(C118="-","-",INDEX('0. Control Panel'!$B$6:$K$16,MATCH('2.1 Customer Benefit Output'!$C118,'0. Control Panel'!$B$6:$B$16,0),MATCH(D$7,'0. Control Panel'!$B$6:$K$6,0)))</f>
        <v>Finance</v>
      </c>
      <c r="E118" s="6"/>
      <c r="G118" s="24">
        <f>IFERROR(-VLOOKUP($D118,'0. Control Panel'!$C$7:$F$16,4,FALSE)*(('2. Customer Benefit Input'!$F117+'2. Customer Benefit Input'!H117)*'2. Customer Benefit Input'!$L117)+(VLOOKUP($D118,'0. Control Panel'!$C$7:$F$16,4,FALSE)*('2. Customer Benefit Input'!$F117*'2. Customer Benefit Input'!$L117)),0)</f>
        <v>0</v>
      </c>
      <c r="H118" s="24">
        <f>IFERROR(-VLOOKUP($D118,'0. Control Panel'!$C$7:$F$16,4,FALSE)*(('2. Customer Benefit Input'!$F117+'2. Customer Benefit Input'!I117)*'2. Customer Benefit Input'!$L117)+(VLOOKUP($D118,'0. Control Panel'!$C$7:$F$16,4,FALSE)*('2. Customer Benefit Input'!$F117*'2. Customer Benefit Input'!$L117)),0)</f>
        <v>0</v>
      </c>
      <c r="I118" s="24">
        <f>IFERROR(-VLOOKUP($D118,'0. Control Panel'!$C$7:$F$16,4,FALSE)*(('2. Customer Benefit Input'!$F117+'2. Customer Benefit Input'!J117)*'2. Customer Benefit Input'!$L117)+(VLOOKUP($D118,'0. Control Panel'!$C$7:$F$16,4,FALSE)*('2. Customer Benefit Input'!$F117*'2. Customer Benefit Input'!$L117)),0)</f>
        <v>0</v>
      </c>
      <c r="K118" s="24">
        <f>IFERROR((VLOOKUP($D118,'0. Control Panel'!$C$7:$F$16,4,FALSE)*('2. Customer Benefit Input'!$F117+'2. Customer Benefit Input'!H117)*'2. Customer Benefit Input'!$L117)-(VLOOKUP($D118,'0. Control Panel'!$C$7:$F$16,4,FALSE)*('2. Customer Benefit Input'!$F117+'2. Customer Benefit Input'!H117)*'2. Customer Benefit Input'!N117),0)</f>
        <v>0</v>
      </c>
      <c r="L118" s="24">
        <f>IFERROR((VLOOKUP($D118,'0. Control Panel'!$C$7:$F$16,4,FALSE)*('2. Customer Benefit Input'!$F117+'2. Customer Benefit Input'!I117)*'2. Customer Benefit Input'!$L117)-(VLOOKUP($D118,'0. Control Panel'!$C$7:$F$16,4,FALSE)*('2. Customer Benefit Input'!$F117+'2. Customer Benefit Input'!I117)*'2. Customer Benefit Input'!O117),0)</f>
        <v>0</v>
      </c>
      <c r="M118" s="24">
        <f>IFERROR((VLOOKUP($D118,'0. Control Panel'!$C$7:$F$16,4,FALSE)*('2. Customer Benefit Input'!$F117+'2. Customer Benefit Input'!J117)*'2. Customer Benefit Input'!$L117)-(VLOOKUP($D118,'0. Control Panel'!$C$7:$F$16,4,FALSE)*('2. Customer Benefit Input'!$F117+'2. Customer Benefit Input'!J117)*'2. Customer Benefit Input'!P117),0)</f>
        <v>0</v>
      </c>
      <c r="N118" s="25"/>
      <c r="O118" s="24">
        <f>'2. Customer Benefit Input'!T117</f>
        <v>0</v>
      </c>
      <c r="P118" s="24">
        <f>'2. Customer Benefit Input'!U117</f>
        <v>0</v>
      </c>
      <c r="Q118" s="24">
        <f>'2. Customer Benefit Input'!V117</f>
        <v>0</v>
      </c>
      <c r="R118" s="25"/>
      <c r="S118" s="24">
        <f t="shared" si="119"/>
        <v>0</v>
      </c>
      <c r="T118" s="24">
        <f t="shared" si="116"/>
        <v>0</v>
      </c>
      <c r="U118" s="24">
        <f t="shared" si="117"/>
        <v>0</v>
      </c>
    </row>
    <row r="119" spans="1:21" x14ac:dyDescent="0.25">
      <c r="A119" s="34" t="str">
        <f t="shared" si="118"/>
        <v>Head OfficeC9</v>
      </c>
      <c r="B119" s="34"/>
      <c r="C119" s="6">
        <f>IF(C118="-","-",IF(C118+1&gt;COUNTA('0. Control Panel'!$C$7:$C$16),"-",'2.1 Customer Benefit Output'!C118+1))</f>
        <v>8</v>
      </c>
      <c r="D119" s="16" t="str">
        <f>IF(C119="-","-",INDEX('0. Control Panel'!$B$6:$K$16,MATCH('2.1 Customer Benefit Output'!$C119,'0. Control Panel'!$B$6:$B$16,0),MATCH(D$7,'0. Control Panel'!$B$6:$K$6,0)))</f>
        <v>Head Office</v>
      </c>
      <c r="E119" s="6"/>
      <c r="G119" s="24">
        <f>IFERROR(-VLOOKUP($D119,'0. Control Panel'!$C$7:$F$16,4,FALSE)*(('2. Customer Benefit Input'!$F118+'2. Customer Benefit Input'!H118)*'2. Customer Benefit Input'!$L118)+(VLOOKUP($D119,'0. Control Panel'!$C$7:$F$16,4,FALSE)*('2. Customer Benefit Input'!$F118*'2. Customer Benefit Input'!$L118)),0)</f>
        <v>0</v>
      </c>
      <c r="H119" s="24">
        <f>IFERROR(-VLOOKUP($D119,'0. Control Panel'!$C$7:$F$16,4,FALSE)*(('2. Customer Benefit Input'!$F118+'2. Customer Benefit Input'!I118)*'2. Customer Benefit Input'!$L118)+(VLOOKUP($D119,'0. Control Panel'!$C$7:$F$16,4,FALSE)*('2. Customer Benefit Input'!$F118*'2. Customer Benefit Input'!$L118)),0)</f>
        <v>0</v>
      </c>
      <c r="I119" s="24">
        <f>IFERROR(-VLOOKUP($D119,'0. Control Panel'!$C$7:$F$16,4,FALSE)*(('2. Customer Benefit Input'!$F118+'2. Customer Benefit Input'!J118)*'2. Customer Benefit Input'!$L118)+(VLOOKUP($D119,'0. Control Panel'!$C$7:$F$16,4,FALSE)*('2. Customer Benefit Input'!$F118*'2. Customer Benefit Input'!$L118)),0)</f>
        <v>0</v>
      </c>
      <c r="K119" s="24">
        <f>IFERROR((VLOOKUP($D119,'0. Control Panel'!$C$7:$F$16,4,FALSE)*('2. Customer Benefit Input'!$F118+'2. Customer Benefit Input'!H118)*'2. Customer Benefit Input'!$L118)-(VLOOKUP($D119,'0. Control Panel'!$C$7:$F$16,4,FALSE)*('2. Customer Benefit Input'!$F118+'2. Customer Benefit Input'!H118)*'2. Customer Benefit Input'!N118),0)</f>
        <v>0</v>
      </c>
      <c r="L119" s="24">
        <f>IFERROR((VLOOKUP($D119,'0. Control Panel'!$C$7:$F$16,4,FALSE)*('2. Customer Benefit Input'!$F118+'2. Customer Benefit Input'!I118)*'2. Customer Benefit Input'!$L118)-(VLOOKUP($D119,'0. Control Panel'!$C$7:$F$16,4,FALSE)*('2. Customer Benefit Input'!$F118+'2. Customer Benefit Input'!I118)*'2. Customer Benefit Input'!O118),0)</f>
        <v>0</v>
      </c>
      <c r="M119" s="24">
        <f>IFERROR((VLOOKUP($D119,'0. Control Panel'!$C$7:$F$16,4,FALSE)*('2. Customer Benefit Input'!$F118+'2. Customer Benefit Input'!J118)*'2. Customer Benefit Input'!$L118)-(VLOOKUP($D119,'0. Control Panel'!$C$7:$F$16,4,FALSE)*('2. Customer Benefit Input'!$F118+'2. Customer Benefit Input'!J118)*'2. Customer Benefit Input'!P118),0)</f>
        <v>0</v>
      </c>
      <c r="N119" s="25"/>
      <c r="O119" s="24">
        <f>'2. Customer Benefit Input'!T118</f>
        <v>0</v>
      </c>
      <c r="P119" s="24">
        <f>'2. Customer Benefit Input'!U118</f>
        <v>0</v>
      </c>
      <c r="Q119" s="24">
        <f>'2. Customer Benefit Input'!V118</f>
        <v>0</v>
      </c>
      <c r="R119" s="25"/>
      <c r="S119" s="24">
        <f t="shared" si="119"/>
        <v>0</v>
      </c>
      <c r="T119" s="24">
        <f t="shared" si="116"/>
        <v>0</v>
      </c>
      <c r="U119" s="24">
        <f t="shared" si="117"/>
        <v>0</v>
      </c>
    </row>
    <row r="120" spans="1:21" x14ac:dyDescent="0.25">
      <c r="A120" s="34" t="str">
        <f t="shared" si="118"/>
        <v>-C9</v>
      </c>
      <c r="B120" s="34"/>
      <c r="C120" s="6" t="str">
        <f>IF(C119="-","-",IF(C119+1&gt;COUNTA('0. Control Panel'!$C$7:$C$16),"-",'2.1 Customer Benefit Output'!C119+1))</f>
        <v>-</v>
      </c>
      <c r="D120" s="16" t="str">
        <f>IF(C120="-","-",INDEX('0. Control Panel'!$B$6:$K$16,MATCH('2.1 Customer Benefit Output'!$C120,'0. Control Panel'!$B$6:$B$16,0),MATCH(D$7,'0. Control Panel'!$B$6:$K$6,0)))</f>
        <v>-</v>
      </c>
      <c r="E120" s="6"/>
      <c r="G120" s="24">
        <f>IFERROR(-VLOOKUP($D120,'0. Control Panel'!$C$7:$F$16,4,FALSE)*(('2. Customer Benefit Input'!$F119+'2. Customer Benefit Input'!H119)*'2. Customer Benefit Input'!$L119)+(VLOOKUP($D120,'0. Control Panel'!$C$7:$F$16,4,FALSE)*('2. Customer Benefit Input'!$F119*'2. Customer Benefit Input'!$L119)),0)</f>
        <v>0</v>
      </c>
      <c r="H120" s="24">
        <f>IFERROR(-VLOOKUP($D120,'0. Control Panel'!$C$7:$F$16,4,FALSE)*(('2. Customer Benefit Input'!$F119+'2. Customer Benefit Input'!I119)*'2. Customer Benefit Input'!$L119)+(VLOOKUP($D120,'0. Control Panel'!$C$7:$F$16,4,FALSE)*('2. Customer Benefit Input'!$F119*'2. Customer Benefit Input'!$L119)),0)</f>
        <v>0</v>
      </c>
      <c r="I120" s="24">
        <f>IFERROR(-VLOOKUP($D120,'0. Control Panel'!$C$7:$F$16,4,FALSE)*(('2. Customer Benefit Input'!$F119+'2. Customer Benefit Input'!J119)*'2. Customer Benefit Input'!$L119)+(VLOOKUP($D120,'0. Control Panel'!$C$7:$F$16,4,FALSE)*('2. Customer Benefit Input'!$F119*'2. Customer Benefit Input'!$L119)),0)</f>
        <v>0</v>
      </c>
      <c r="K120" s="24">
        <f>IFERROR((VLOOKUP($D120,'0. Control Panel'!$C$7:$F$16,4,FALSE)*('2. Customer Benefit Input'!$F119+'2. Customer Benefit Input'!H119)*'2. Customer Benefit Input'!$L119)-(VLOOKUP($D120,'0. Control Panel'!$C$7:$F$16,4,FALSE)*('2. Customer Benefit Input'!$F119+'2. Customer Benefit Input'!H119)*'2. Customer Benefit Input'!N119),0)</f>
        <v>0</v>
      </c>
      <c r="L120" s="24">
        <f>IFERROR((VLOOKUP($D120,'0. Control Panel'!$C$7:$F$16,4,FALSE)*('2. Customer Benefit Input'!$F119+'2. Customer Benefit Input'!I119)*'2. Customer Benefit Input'!$L119)-(VLOOKUP($D120,'0. Control Panel'!$C$7:$F$16,4,FALSE)*('2. Customer Benefit Input'!$F119+'2. Customer Benefit Input'!I119)*'2. Customer Benefit Input'!O119),0)</f>
        <v>0</v>
      </c>
      <c r="M120" s="24">
        <f>IFERROR((VLOOKUP($D120,'0. Control Panel'!$C$7:$F$16,4,FALSE)*('2. Customer Benefit Input'!$F119+'2. Customer Benefit Input'!J119)*'2. Customer Benefit Input'!$L119)-(VLOOKUP($D120,'0. Control Panel'!$C$7:$F$16,4,FALSE)*('2. Customer Benefit Input'!$F119+'2. Customer Benefit Input'!J119)*'2. Customer Benefit Input'!P119),0)</f>
        <v>0</v>
      </c>
      <c r="N120" s="25"/>
      <c r="O120" s="24">
        <f>'2. Customer Benefit Input'!T119</f>
        <v>0</v>
      </c>
      <c r="P120" s="24">
        <f>'2. Customer Benefit Input'!U119</f>
        <v>0</v>
      </c>
      <c r="Q120" s="24">
        <f>'2. Customer Benefit Input'!V119</f>
        <v>0</v>
      </c>
      <c r="R120" s="25"/>
      <c r="S120" s="24">
        <f t="shared" si="119"/>
        <v>0</v>
      </c>
      <c r="T120" s="24">
        <f t="shared" si="116"/>
        <v>0</v>
      </c>
      <c r="U120" s="24">
        <f t="shared" si="117"/>
        <v>0</v>
      </c>
    </row>
    <row r="121" spans="1:21" x14ac:dyDescent="0.25">
      <c r="A121" s="34" t="str">
        <f t="shared" si="118"/>
        <v>-C9</v>
      </c>
      <c r="B121" s="34"/>
      <c r="C121" s="7" t="str">
        <f>IF(C120="-","-",IF(C120+1&gt;COUNTA('0. Control Panel'!$C$7:$C$16),"-",'2.1 Customer Benefit Output'!C120+1))</f>
        <v>-</v>
      </c>
      <c r="D121" s="17" t="str">
        <f>IF(C121="-","-",INDEX('0. Control Panel'!$B$6:$K$16,MATCH('2.1 Customer Benefit Output'!$C121,'0. Control Panel'!$B$6:$B$16,0),MATCH(D$7,'0. Control Panel'!$B$6:$K$6,0)))</f>
        <v>-</v>
      </c>
      <c r="E121" s="7"/>
      <c r="G121" s="24">
        <f>IFERROR(-VLOOKUP($D121,'0. Control Panel'!$C$7:$F$16,4,FALSE)*(('2. Customer Benefit Input'!$F120+'2. Customer Benefit Input'!H120)*'2. Customer Benefit Input'!$L120)+(VLOOKUP($D121,'0. Control Panel'!$C$7:$F$16,4,FALSE)*('2. Customer Benefit Input'!$F120*'2. Customer Benefit Input'!$L120)),0)</f>
        <v>0</v>
      </c>
      <c r="H121" s="24">
        <f>IFERROR(-VLOOKUP($D121,'0. Control Panel'!$C$7:$F$16,4,FALSE)*(('2. Customer Benefit Input'!$F120+'2. Customer Benefit Input'!I120)*'2. Customer Benefit Input'!$L120)+(VLOOKUP($D121,'0. Control Panel'!$C$7:$F$16,4,FALSE)*('2. Customer Benefit Input'!$F120*'2. Customer Benefit Input'!$L120)),0)</f>
        <v>0</v>
      </c>
      <c r="I121" s="24">
        <f>IFERROR(-VLOOKUP($D121,'0. Control Panel'!$C$7:$F$16,4,FALSE)*(('2. Customer Benefit Input'!$F120+'2. Customer Benefit Input'!J120)*'2. Customer Benefit Input'!$L120)+(VLOOKUP($D121,'0. Control Panel'!$C$7:$F$16,4,FALSE)*('2. Customer Benefit Input'!$F120*'2. Customer Benefit Input'!$L120)),0)</f>
        <v>0</v>
      </c>
      <c r="K121" s="24">
        <f>IFERROR((VLOOKUP($D121,'0. Control Panel'!$C$7:$F$16,4,FALSE)*('2. Customer Benefit Input'!$F120+'2. Customer Benefit Input'!H120)*'2. Customer Benefit Input'!$L120)-(VLOOKUP($D121,'0. Control Panel'!$C$7:$F$16,4,FALSE)*('2. Customer Benefit Input'!$F120+'2. Customer Benefit Input'!H120)*'2. Customer Benefit Input'!N120),0)</f>
        <v>0</v>
      </c>
      <c r="L121" s="24">
        <f>IFERROR((VLOOKUP($D121,'0. Control Panel'!$C$7:$F$16,4,FALSE)*('2. Customer Benefit Input'!$F120+'2. Customer Benefit Input'!I120)*'2. Customer Benefit Input'!$L120)-(VLOOKUP($D121,'0. Control Panel'!$C$7:$F$16,4,FALSE)*('2. Customer Benefit Input'!$F120+'2. Customer Benefit Input'!I120)*'2. Customer Benefit Input'!O120),0)</f>
        <v>0</v>
      </c>
      <c r="M121" s="24">
        <f>IFERROR((VLOOKUP($D121,'0. Control Panel'!$C$7:$F$16,4,FALSE)*('2. Customer Benefit Input'!$F120+'2. Customer Benefit Input'!J120)*'2. Customer Benefit Input'!$L120)-(VLOOKUP($D121,'0. Control Panel'!$C$7:$F$16,4,FALSE)*('2. Customer Benefit Input'!$F120+'2. Customer Benefit Input'!J120)*'2. Customer Benefit Input'!P120),0)</f>
        <v>0</v>
      </c>
      <c r="N121" s="25"/>
      <c r="O121" s="24">
        <f>'2. Customer Benefit Input'!T120</f>
        <v>0</v>
      </c>
      <c r="P121" s="24">
        <f>'2. Customer Benefit Input'!U120</f>
        <v>0</v>
      </c>
      <c r="Q121" s="24">
        <f>'2. Customer Benefit Input'!V120</f>
        <v>0</v>
      </c>
      <c r="R121" s="25"/>
      <c r="S121" s="24">
        <f t="shared" si="119"/>
        <v>0</v>
      </c>
      <c r="T121" s="24">
        <f t="shared" si="116"/>
        <v>0</v>
      </c>
      <c r="U121" s="24">
        <f t="shared" si="117"/>
        <v>0</v>
      </c>
    </row>
    <row r="122" spans="1:21" ht="16.5" thickBot="1" x14ac:dyDescent="0.3">
      <c r="A122" s="34" t="str">
        <f>D122&amp;$C$111</f>
        <v>All Departments/FunctionsC9</v>
      </c>
      <c r="B122" s="34"/>
      <c r="C122" s="23"/>
      <c r="D122" s="27" t="str">
        <f>D109</f>
        <v>All Departments/Functions</v>
      </c>
      <c r="E122" s="23"/>
      <c r="F122" s="23"/>
      <c r="G122" s="28">
        <f>SUM(G112:G121)</f>
        <v>0</v>
      </c>
      <c r="H122" s="28">
        <f t="shared" ref="H122" si="120">SUM(H112:H121)</f>
        <v>0</v>
      </c>
      <c r="I122" s="28">
        <f t="shared" ref="I122" si="121">SUM(I112:I121)</f>
        <v>0</v>
      </c>
      <c r="J122" s="23"/>
      <c r="K122" s="28">
        <f>SUM(K112:K121)</f>
        <v>0</v>
      </c>
      <c r="L122" s="28">
        <f t="shared" ref="L122" si="122">SUM(L112:L121)</f>
        <v>0</v>
      </c>
      <c r="M122" s="28">
        <f t="shared" ref="M122" si="123">SUM(M112:M121)</f>
        <v>0</v>
      </c>
      <c r="N122" s="29"/>
      <c r="O122" s="28">
        <f t="shared" ref="O122" si="124">SUM(O112:O121)</f>
        <v>0</v>
      </c>
      <c r="P122" s="28">
        <f t="shared" ref="P122" si="125">SUM(P112:P121)</f>
        <v>0</v>
      </c>
      <c r="Q122" s="28">
        <f t="shared" ref="Q122" si="126">SUM(Q112:Q121)</f>
        <v>0</v>
      </c>
      <c r="R122" s="29"/>
      <c r="S122" s="28">
        <f t="shared" ref="S122" si="127">SUM(S112:S121)</f>
        <v>0</v>
      </c>
      <c r="T122" s="28">
        <f t="shared" ref="T122" si="128">SUM(T112:T121)</f>
        <v>0</v>
      </c>
      <c r="U122" s="28">
        <f t="shared" ref="U122" si="129">SUM(U112:U121)</f>
        <v>0</v>
      </c>
    </row>
    <row r="123" spans="1:21" ht="16.5" thickTop="1" x14ac:dyDescent="0.25">
      <c r="A123" s="34"/>
      <c r="B123" s="34"/>
      <c r="C123" s="4"/>
      <c r="D123" s="4"/>
      <c r="E123" s="4"/>
      <c r="F123"/>
      <c r="G123" s="26"/>
      <c r="H123" s="26"/>
      <c r="I123" s="26"/>
      <c r="J123"/>
      <c r="K123" s="26"/>
      <c r="L123" s="26"/>
      <c r="M123" s="26"/>
      <c r="N123" s="26"/>
      <c r="O123" s="26"/>
      <c r="P123" s="26"/>
      <c r="Q123" s="26"/>
      <c r="R123" s="26"/>
      <c r="S123" s="26"/>
      <c r="T123" s="26"/>
      <c r="U123" s="26"/>
    </row>
    <row r="124" spans="1:21" ht="15.95" customHeight="1" x14ac:dyDescent="0.25">
      <c r="A124" s="34"/>
      <c r="B124" s="34"/>
      <c r="C124" s="12" t="s">
        <v>21</v>
      </c>
      <c r="D124" s="30" t="str">
        <f>IF(INDEX('0. Control Panel'!$B$19:$C$29,MATCH('2.1 Customer Benefit Output'!$C124,'0. Control Panel'!$B$19:$B$29,0),2)="","n/a",INDEX('0. Control Panel'!$B$19:$C$29,MATCH('2.1 Customer Benefit Output'!$C124,'0. Control Panel'!$B$19:$B$29,0),2))</f>
        <v>n/a</v>
      </c>
      <c r="F124"/>
      <c r="G124" s="26"/>
      <c r="H124" s="26"/>
      <c r="I124" s="26"/>
      <c r="J124"/>
      <c r="K124" s="26"/>
      <c r="L124" s="26"/>
      <c r="M124" s="26"/>
      <c r="N124" s="26"/>
      <c r="O124" s="26"/>
      <c r="P124" s="26"/>
      <c r="Q124" s="26"/>
      <c r="R124" s="26"/>
      <c r="S124" s="26"/>
      <c r="T124" s="26"/>
      <c r="U124" s="26"/>
    </row>
    <row r="125" spans="1:21" x14ac:dyDescent="0.25">
      <c r="A125" s="34" t="str">
        <f>D125&amp;$C$124</f>
        <v>ITC10</v>
      </c>
      <c r="B125" s="34"/>
      <c r="C125" s="5">
        <v>1</v>
      </c>
      <c r="D125" s="15" t="str">
        <f>IF(C125="-","-",INDEX('0. Control Panel'!$B$6:$K$16,MATCH('2.1 Customer Benefit Output'!$C125,'0. Control Panel'!$B$6:$B$16,0),MATCH(D$7,'0. Control Panel'!$B$6:$K$6,0)))</f>
        <v>IT</v>
      </c>
      <c r="E125" s="5"/>
      <c r="G125" s="24">
        <f>IFERROR(-VLOOKUP($D125,'0. Control Panel'!$C$7:$F$16,4,FALSE)*(('2. Customer Benefit Input'!$F124+'2. Customer Benefit Input'!H124)*'2. Customer Benefit Input'!$L124)+(VLOOKUP($D125,'0. Control Panel'!$C$7:$F$16,4,FALSE)*('2. Customer Benefit Input'!$F124*'2. Customer Benefit Input'!$L124)),0)</f>
        <v>0</v>
      </c>
      <c r="H125" s="24">
        <f>IFERROR(-VLOOKUP($D125,'0. Control Panel'!$C$7:$F$16,4,FALSE)*(('2. Customer Benefit Input'!$F124+'2. Customer Benefit Input'!I124)*'2. Customer Benefit Input'!$L124)+(VLOOKUP($D125,'0. Control Panel'!$C$7:$F$16,4,FALSE)*('2. Customer Benefit Input'!$F124*'2. Customer Benefit Input'!$L124)),0)</f>
        <v>0</v>
      </c>
      <c r="I125" s="24">
        <f>IFERROR(-VLOOKUP($D125,'0. Control Panel'!$C$7:$F$16,4,FALSE)*(('2. Customer Benefit Input'!$F124+'2. Customer Benefit Input'!J124)*'2. Customer Benefit Input'!$L124)+(VLOOKUP($D125,'0. Control Panel'!$C$7:$F$16,4,FALSE)*('2. Customer Benefit Input'!$F124*'2. Customer Benefit Input'!$L124)),0)</f>
        <v>0</v>
      </c>
      <c r="K125" s="24">
        <f>IFERROR((VLOOKUP($D125,'0. Control Panel'!$C$7:$F$16,4,FALSE)*('2. Customer Benefit Input'!$F124+'2. Customer Benefit Input'!H124)*'2. Customer Benefit Input'!$L124)-(VLOOKUP($D125,'0. Control Panel'!$C$7:$F$16,4,FALSE)*('2. Customer Benefit Input'!$F124+'2. Customer Benefit Input'!H124)*'2. Customer Benefit Input'!N124),0)</f>
        <v>0</v>
      </c>
      <c r="L125" s="24">
        <f>IFERROR((VLOOKUP($D125,'0. Control Panel'!$C$7:$F$16,4,FALSE)*('2. Customer Benefit Input'!$F124+'2. Customer Benefit Input'!I124)*'2. Customer Benefit Input'!$L124)-(VLOOKUP($D125,'0. Control Panel'!$C$7:$F$16,4,FALSE)*('2. Customer Benefit Input'!$F124+'2. Customer Benefit Input'!I124)*'2. Customer Benefit Input'!O124),0)</f>
        <v>0</v>
      </c>
      <c r="M125" s="24">
        <f>IFERROR((VLOOKUP($D125,'0. Control Panel'!$C$7:$F$16,4,FALSE)*('2. Customer Benefit Input'!$F124+'2. Customer Benefit Input'!J124)*'2. Customer Benefit Input'!$L124)-(VLOOKUP($D125,'0. Control Panel'!$C$7:$F$16,4,FALSE)*('2. Customer Benefit Input'!$F124+'2. Customer Benefit Input'!J124)*'2. Customer Benefit Input'!P124),0)</f>
        <v>0</v>
      </c>
      <c r="N125" s="25"/>
      <c r="O125" s="24">
        <f>'2. Customer Benefit Input'!T124</f>
        <v>0</v>
      </c>
      <c r="P125" s="24">
        <f>'2. Customer Benefit Input'!U124</f>
        <v>0</v>
      </c>
      <c r="Q125" s="24">
        <f>'2. Customer Benefit Input'!V124</f>
        <v>0</v>
      </c>
      <c r="R125" s="25"/>
      <c r="S125" s="24">
        <f>SUM(G125,K125,O125)</f>
        <v>0</v>
      </c>
      <c r="T125" s="24">
        <f t="shared" ref="T125:T134" si="130">SUM(H125,L125,P125)</f>
        <v>0</v>
      </c>
      <c r="U125" s="24">
        <f t="shared" ref="U125:U134" si="131">SUM(I125,M125,Q125)</f>
        <v>0</v>
      </c>
    </row>
    <row r="126" spans="1:21" x14ac:dyDescent="0.25">
      <c r="A126" s="34" t="str">
        <f t="shared" ref="A126:A134" si="132">D126&amp;$C$124</f>
        <v>SalesC10</v>
      </c>
      <c r="B126" s="34"/>
      <c r="C126" s="6">
        <f>IF(C125="-","-",IF(C125+1&gt;COUNTA('0. Control Panel'!$C$7:$C$16),"-",'2.1 Customer Benefit Output'!C125+1))</f>
        <v>2</v>
      </c>
      <c r="D126" s="16" t="str">
        <f>IF(C126="-","-",INDEX('0. Control Panel'!$B$6:$K$16,MATCH('2.1 Customer Benefit Output'!$C126,'0. Control Panel'!$B$6:$B$16,0),MATCH(D$7,'0. Control Panel'!$B$6:$K$6,0)))</f>
        <v>Sales</v>
      </c>
      <c r="E126" s="6"/>
      <c r="G126" s="24">
        <f>IFERROR(-VLOOKUP($D126,'0. Control Panel'!$C$7:$F$16,4,FALSE)*(('2. Customer Benefit Input'!$F125+'2. Customer Benefit Input'!H125)*'2. Customer Benefit Input'!$L125)+(VLOOKUP($D126,'0. Control Panel'!$C$7:$F$16,4,FALSE)*('2. Customer Benefit Input'!$F125*'2. Customer Benefit Input'!$L125)),0)</f>
        <v>0</v>
      </c>
      <c r="H126" s="24">
        <f>IFERROR(-VLOOKUP($D126,'0. Control Panel'!$C$7:$F$16,4,FALSE)*(('2. Customer Benefit Input'!$F125+'2. Customer Benefit Input'!I125)*'2. Customer Benefit Input'!$L125)+(VLOOKUP($D126,'0. Control Panel'!$C$7:$F$16,4,FALSE)*('2. Customer Benefit Input'!$F125*'2. Customer Benefit Input'!$L125)),0)</f>
        <v>0</v>
      </c>
      <c r="I126" s="24">
        <f>IFERROR(-VLOOKUP($D126,'0. Control Panel'!$C$7:$F$16,4,FALSE)*(('2. Customer Benefit Input'!$F125+'2. Customer Benefit Input'!J125)*'2. Customer Benefit Input'!$L125)+(VLOOKUP($D126,'0. Control Panel'!$C$7:$F$16,4,FALSE)*('2. Customer Benefit Input'!$F125*'2. Customer Benefit Input'!$L125)),0)</f>
        <v>0</v>
      </c>
      <c r="K126" s="24">
        <f>IFERROR((VLOOKUP($D126,'0. Control Panel'!$C$7:$F$16,4,FALSE)*('2. Customer Benefit Input'!$F125+'2. Customer Benefit Input'!H125)*'2. Customer Benefit Input'!$L125)-(VLOOKUP($D126,'0. Control Panel'!$C$7:$F$16,4,FALSE)*('2. Customer Benefit Input'!$F125+'2. Customer Benefit Input'!H125)*'2. Customer Benefit Input'!N125),0)</f>
        <v>0</v>
      </c>
      <c r="L126" s="24">
        <f>IFERROR((VLOOKUP($D126,'0. Control Panel'!$C$7:$F$16,4,FALSE)*('2. Customer Benefit Input'!$F125+'2. Customer Benefit Input'!I125)*'2. Customer Benefit Input'!$L125)-(VLOOKUP($D126,'0. Control Panel'!$C$7:$F$16,4,FALSE)*('2. Customer Benefit Input'!$F125+'2. Customer Benefit Input'!I125)*'2. Customer Benefit Input'!O125),0)</f>
        <v>0</v>
      </c>
      <c r="M126" s="24">
        <f>IFERROR((VLOOKUP($D126,'0. Control Panel'!$C$7:$F$16,4,FALSE)*('2. Customer Benefit Input'!$F125+'2. Customer Benefit Input'!J125)*'2. Customer Benefit Input'!$L125)-(VLOOKUP($D126,'0. Control Panel'!$C$7:$F$16,4,FALSE)*('2. Customer Benefit Input'!$F125+'2. Customer Benefit Input'!J125)*'2. Customer Benefit Input'!P125),0)</f>
        <v>0</v>
      </c>
      <c r="N126" s="25"/>
      <c r="O126" s="24">
        <f>'2. Customer Benefit Input'!T125</f>
        <v>0</v>
      </c>
      <c r="P126" s="24">
        <f>'2. Customer Benefit Input'!U125</f>
        <v>0</v>
      </c>
      <c r="Q126" s="24">
        <f>'2. Customer Benefit Input'!V125</f>
        <v>0</v>
      </c>
      <c r="R126" s="25"/>
      <c r="S126" s="24">
        <f t="shared" ref="S126:S134" si="133">SUM(G126,K126,O126)</f>
        <v>0</v>
      </c>
      <c r="T126" s="24">
        <f t="shared" si="130"/>
        <v>0</v>
      </c>
      <c r="U126" s="24">
        <f t="shared" si="131"/>
        <v>0</v>
      </c>
    </row>
    <row r="127" spans="1:21" x14ac:dyDescent="0.25">
      <c r="A127" s="34" t="str">
        <f t="shared" si="132"/>
        <v>Product AC10</v>
      </c>
      <c r="B127" s="34"/>
      <c r="C127" s="6">
        <f>IF(C126="-","-",IF(C126+1&gt;COUNTA('0. Control Panel'!$C$7:$C$16),"-",'2.1 Customer Benefit Output'!C126+1))</f>
        <v>3</v>
      </c>
      <c r="D127" s="16" t="str">
        <f>IF(C127="-","-",INDEX('0. Control Panel'!$B$6:$K$16,MATCH('2.1 Customer Benefit Output'!$C127,'0. Control Panel'!$B$6:$B$16,0),MATCH(D$7,'0. Control Panel'!$B$6:$K$6,0)))</f>
        <v>Product A</v>
      </c>
      <c r="E127" s="6"/>
      <c r="G127" s="24">
        <f>IFERROR(-VLOOKUP($D127,'0. Control Panel'!$C$7:$F$16,4,FALSE)*(('2. Customer Benefit Input'!$F126+'2. Customer Benefit Input'!H126)*'2. Customer Benefit Input'!$L126)+(VLOOKUP($D127,'0. Control Panel'!$C$7:$F$16,4,FALSE)*('2. Customer Benefit Input'!$F126*'2. Customer Benefit Input'!$L126)),0)</f>
        <v>0</v>
      </c>
      <c r="H127" s="24">
        <f>IFERROR(-VLOOKUP($D127,'0. Control Panel'!$C$7:$F$16,4,FALSE)*(('2. Customer Benefit Input'!$F126+'2. Customer Benefit Input'!I126)*'2. Customer Benefit Input'!$L126)+(VLOOKUP($D127,'0. Control Panel'!$C$7:$F$16,4,FALSE)*('2. Customer Benefit Input'!$F126*'2. Customer Benefit Input'!$L126)),0)</f>
        <v>0</v>
      </c>
      <c r="I127" s="24">
        <f>IFERROR(-VLOOKUP($D127,'0. Control Panel'!$C$7:$F$16,4,FALSE)*(('2. Customer Benefit Input'!$F126+'2. Customer Benefit Input'!J126)*'2. Customer Benefit Input'!$L126)+(VLOOKUP($D127,'0. Control Panel'!$C$7:$F$16,4,FALSE)*('2. Customer Benefit Input'!$F126*'2. Customer Benefit Input'!$L126)),0)</f>
        <v>0</v>
      </c>
      <c r="K127" s="24">
        <f>IFERROR((VLOOKUP($D127,'0. Control Panel'!$C$7:$F$16,4,FALSE)*('2. Customer Benefit Input'!$F126+'2. Customer Benefit Input'!H126)*'2. Customer Benefit Input'!$L126)-(VLOOKUP($D127,'0. Control Panel'!$C$7:$F$16,4,FALSE)*('2. Customer Benefit Input'!$F126+'2. Customer Benefit Input'!H126)*'2. Customer Benefit Input'!N126),0)</f>
        <v>0</v>
      </c>
      <c r="L127" s="24">
        <f>IFERROR((VLOOKUP($D127,'0. Control Panel'!$C$7:$F$16,4,FALSE)*('2. Customer Benefit Input'!$F126+'2. Customer Benefit Input'!I126)*'2. Customer Benefit Input'!$L126)-(VLOOKUP($D127,'0. Control Panel'!$C$7:$F$16,4,FALSE)*('2. Customer Benefit Input'!$F126+'2. Customer Benefit Input'!I126)*'2. Customer Benefit Input'!O126),0)</f>
        <v>0</v>
      </c>
      <c r="M127" s="24">
        <f>IFERROR((VLOOKUP($D127,'0. Control Panel'!$C$7:$F$16,4,FALSE)*('2. Customer Benefit Input'!$F126+'2. Customer Benefit Input'!J126)*'2. Customer Benefit Input'!$L126)-(VLOOKUP($D127,'0. Control Panel'!$C$7:$F$16,4,FALSE)*('2. Customer Benefit Input'!$F126+'2. Customer Benefit Input'!J126)*'2. Customer Benefit Input'!P126),0)</f>
        <v>0</v>
      </c>
      <c r="N127" s="25"/>
      <c r="O127" s="24">
        <f>'2. Customer Benefit Input'!T126</f>
        <v>0</v>
      </c>
      <c r="P127" s="24">
        <f>'2. Customer Benefit Input'!U126</f>
        <v>0</v>
      </c>
      <c r="Q127" s="24">
        <f>'2. Customer Benefit Input'!V126</f>
        <v>0</v>
      </c>
      <c r="R127" s="25"/>
      <c r="S127" s="24">
        <f t="shared" si="133"/>
        <v>0</v>
      </c>
      <c r="T127" s="24">
        <f t="shared" si="130"/>
        <v>0</v>
      </c>
      <c r="U127" s="24">
        <f t="shared" si="131"/>
        <v>0</v>
      </c>
    </row>
    <row r="128" spans="1:21" x14ac:dyDescent="0.25">
      <c r="A128" s="34" t="str">
        <f t="shared" si="132"/>
        <v>Product BC10</v>
      </c>
      <c r="B128" s="34"/>
      <c r="C128" s="6">
        <f>IF(C127="-","-",IF(C127+1&gt;COUNTA('0. Control Panel'!$C$7:$C$16),"-",'2.1 Customer Benefit Output'!C127+1))</f>
        <v>4</v>
      </c>
      <c r="D128" s="16" t="str">
        <f>IF(C128="-","-",INDEX('0. Control Panel'!$B$6:$K$16,MATCH('2.1 Customer Benefit Output'!$C128,'0. Control Panel'!$B$6:$B$16,0),MATCH(D$7,'0. Control Panel'!$B$6:$K$6,0)))</f>
        <v>Product B</v>
      </c>
      <c r="E128" s="6"/>
      <c r="G128" s="24">
        <f>IFERROR(-VLOOKUP($D128,'0. Control Panel'!$C$7:$F$16,4,FALSE)*(('2. Customer Benefit Input'!$F127+'2. Customer Benefit Input'!H127)*'2. Customer Benefit Input'!$L127)+(VLOOKUP($D128,'0. Control Panel'!$C$7:$F$16,4,FALSE)*('2. Customer Benefit Input'!$F127*'2. Customer Benefit Input'!$L127)),0)</f>
        <v>0</v>
      </c>
      <c r="H128" s="24">
        <f>IFERROR(-VLOOKUP($D128,'0. Control Panel'!$C$7:$F$16,4,FALSE)*(('2. Customer Benefit Input'!$F127+'2. Customer Benefit Input'!I127)*'2. Customer Benefit Input'!$L127)+(VLOOKUP($D128,'0. Control Panel'!$C$7:$F$16,4,FALSE)*('2. Customer Benefit Input'!$F127*'2. Customer Benefit Input'!$L127)),0)</f>
        <v>0</v>
      </c>
      <c r="I128" s="24">
        <f>IFERROR(-VLOOKUP($D128,'0. Control Panel'!$C$7:$F$16,4,FALSE)*(('2. Customer Benefit Input'!$F127+'2. Customer Benefit Input'!J127)*'2. Customer Benefit Input'!$L127)+(VLOOKUP($D128,'0. Control Panel'!$C$7:$F$16,4,FALSE)*('2. Customer Benefit Input'!$F127*'2. Customer Benefit Input'!$L127)),0)</f>
        <v>0</v>
      </c>
      <c r="K128" s="24">
        <f>IFERROR((VLOOKUP($D128,'0. Control Panel'!$C$7:$F$16,4,FALSE)*('2. Customer Benefit Input'!$F127+'2. Customer Benefit Input'!H127)*'2. Customer Benefit Input'!$L127)-(VLOOKUP($D128,'0. Control Panel'!$C$7:$F$16,4,FALSE)*('2. Customer Benefit Input'!$F127+'2. Customer Benefit Input'!H127)*'2. Customer Benefit Input'!N127),0)</f>
        <v>0</v>
      </c>
      <c r="L128" s="24">
        <f>IFERROR((VLOOKUP($D128,'0. Control Panel'!$C$7:$F$16,4,FALSE)*('2. Customer Benefit Input'!$F127+'2. Customer Benefit Input'!I127)*'2. Customer Benefit Input'!$L127)-(VLOOKUP($D128,'0. Control Panel'!$C$7:$F$16,4,FALSE)*('2. Customer Benefit Input'!$F127+'2. Customer Benefit Input'!I127)*'2. Customer Benefit Input'!O127),0)</f>
        <v>0</v>
      </c>
      <c r="M128" s="24">
        <f>IFERROR((VLOOKUP($D128,'0. Control Panel'!$C$7:$F$16,4,FALSE)*('2. Customer Benefit Input'!$F127+'2. Customer Benefit Input'!J127)*'2. Customer Benefit Input'!$L127)-(VLOOKUP($D128,'0. Control Panel'!$C$7:$F$16,4,FALSE)*('2. Customer Benefit Input'!$F127+'2. Customer Benefit Input'!J127)*'2. Customer Benefit Input'!P127),0)</f>
        <v>0</v>
      </c>
      <c r="N128" s="25"/>
      <c r="O128" s="24">
        <f>'2. Customer Benefit Input'!T127</f>
        <v>0</v>
      </c>
      <c r="P128" s="24">
        <f>'2. Customer Benefit Input'!U127</f>
        <v>0</v>
      </c>
      <c r="Q128" s="24">
        <f>'2. Customer Benefit Input'!V127</f>
        <v>0</v>
      </c>
      <c r="R128" s="25"/>
      <c r="S128" s="24">
        <f t="shared" si="133"/>
        <v>0</v>
      </c>
      <c r="T128" s="24">
        <f t="shared" si="130"/>
        <v>0</v>
      </c>
      <c r="U128" s="24">
        <f t="shared" si="131"/>
        <v>0</v>
      </c>
    </row>
    <row r="129" spans="1:21" x14ac:dyDescent="0.25">
      <c r="A129" s="34" t="str">
        <f t="shared" si="132"/>
        <v>R&amp;DC10</v>
      </c>
      <c r="B129" s="34"/>
      <c r="C129" s="6">
        <f>IF(C128="-","-",IF(C128+1&gt;COUNTA('0. Control Panel'!$C$7:$C$16),"-",'2.1 Customer Benefit Output'!C128+1))</f>
        <v>5</v>
      </c>
      <c r="D129" s="16" t="str">
        <f>IF(C129="-","-",INDEX('0. Control Panel'!$B$6:$K$16,MATCH('2.1 Customer Benefit Output'!$C129,'0. Control Panel'!$B$6:$B$16,0),MATCH(D$7,'0. Control Panel'!$B$6:$K$6,0)))</f>
        <v>R&amp;D</v>
      </c>
      <c r="E129" s="6"/>
      <c r="G129" s="24">
        <f>IFERROR(-VLOOKUP($D129,'0. Control Panel'!$C$7:$F$16,4,FALSE)*(('2. Customer Benefit Input'!$F128+'2. Customer Benefit Input'!H128)*'2. Customer Benefit Input'!$L128)+(VLOOKUP($D129,'0. Control Panel'!$C$7:$F$16,4,FALSE)*('2. Customer Benefit Input'!$F128*'2. Customer Benefit Input'!$L128)),0)</f>
        <v>0</v>
      </c>
      <c r="H129" s="24">
        <f>IFERROR(-VLOOKUP($D129,'0. Control Panel'!$C$7:$F$16,4,FALSE)*(('2. Customer Benefit Input'!$F128+'2. Customer Benefit Input'!I128)*'2. Customer Benefit Input'!$L128)+(VLOOKUP($D129,'0. Control Panel'!$C$7:$F$16,4,FALSE)*('2. Customer Benefit Input'!$F128*'2. Customer Benefit Input'!$L128)),0)</f>
        <v>0</v>
      </c>
      <c r="I129" s="24">
        <f>IFERROR(-VLOOKUP($D129,'0. Control Panel'!$C$7:$F$16,4,FALSE)*(('2. Customer Benefit Input'!$F128+'2. Customer Benefit Input'!J128)*'2. Customer Benefit Input'!$L128)+(VLOOKUP($D129,'0. Control Panel'!$C$7:$F$16,4,FALSE)*('2. Customer Benefit Input'!$F128*'2. Customer Benefit Input'!$L128)),0)</f>
        <v>0</v>
      </c>
      <c r="K129" s="24">
        <f>IFERROR((VLOOKUP($D129,'0. Control Panel'!$C$7:$F$16,4,FALSE)*('2. Customer Benefit Input'!$F128+'2. Customer Benefit Input'!H128)*'2. Customer Benefit Input'!$L128)-(VLOOKUP($D129,'0. Control Panel'!$C$7:$F$16,4,FALSE)*('2. Customer Benefit Input'!$F128+'2. Customer Benefit Input'!H128)*'2. Customer Benefit Input'!N128),0)</f>
        <v>0</v>
      </c>
      <c r="L129" s="24">
        <f>IFERROR((VLOOKUP($D129,'0. Control Panel'!$C$7:$F$16,4,FALSE)*('2. Customer Benefit Input'!$F128+'2. Customer Benefit Input'!I128)*'2. Customer Benefit Input'!$L128)-(VLOOKUP($D129,'0. Control Panel'!$C$7:$F$16,4,FALSE)*('2. Customer Benefit Input'!$F128+'2. Customer Benefit Input'!I128)*'2. Customer Benefit Input'!O128),0)</f>
        <v>0</v>
      </c>
      <c r="M129" s="24">
        <f>IFERROR((VLOOKUP($D129,'0. Control Panel'!$C$7:$F$16,4,FALSE)*('2. Customer Benefit Input'!$F128+'2. Customer Benefit Input'!J128)*'2. Customer Benefit Input'!$L128)-(VLOOKUP($D129,'0. Control Panel'!$C$7:$F$16,4,FALSE)*('2. Customer Benefit Input'!$F128+'2. Customer Benefit Input'!J128)*'2. Customer Benefit Input'!P128),0)</f>
        <v>0</v>
      </c>
      <c r="N129" s="25"/>
      <c r="O129" s="24">
        <f>'2. Customer Benefit Input'!T128</f>
        <v>0</v>
      </c>
      <c r="P129" s="24">
        <f>'2. Customer Benefit Input'!U128</f>
        <v>0</v>
      </c>
      <c r="Q129" s="24">
        <f>'2. Customer Benefit Input'!V128</f>
        <v>0</v>
      </c>
      <c r="R129" s="25"/>
      <c r="S129" s="24">
        <f t="shared" si="133"/>
        <v>0</v>
      </c>
      <c r="T129" s="24">
        <f t="shared" si="130"/>
        <v>0</v>
      </c>
      <c r="U129" s="24">
        <f t="shared" si="131"/>
        <v>0</v>
      </c>
    </row>
    <row r="130" spans="1:21" x14ac:dyDescent="0.25">
      <c r="A130" s="34" t="str">
        <f t="shared" si="132"/>
        <v>HRC10</v>
      </c>
      <c r="B130" s="34"/>
      <c r="C130" s="6">
        <f>IF(C129="-","-",IF(C129+1&gt;COUNTA('0. Control Panel'!$C$7:$C$16),"-",'2.1 Customer Benefit Output'!C129+1))</f>
        <v>6</v>
      </c>
      <c r="D130" s="16" t="str">
        <f>IF(C130="-","-",INDEX('0. Control Panel'!$B$6:$K$16,MATCH('2.1 Customer Benefit Output'!$C130,'0. Control Panel'!$B$6:$B$16,0),MATCH(D$7,'0. Control Panel'!$B$6:$K$6,0)))</f>
        <v>HR</v>
      </c>
      <c r="E130" s="6"/>
      <c r="G130" s="24">
        <f>IFERROR(-VLOOKUP($D130,'0. Control Panel'!$C$7:$F$16,4,FALSE)*(('2. Customer Benefit Input'!$F129+'2. Customer Benefit Input'!H129)*'2. Customer Benefit Input'!$L129)+(VLOOKUP($D130,'0. Control Panel'!$C$7:$F$16,4,FALSE)*('2. Customer Benefit Input'!$F129*'2. Customer Benefit Input'!$L129)),0)</f>
        <v>0</v>
      </c>
      <c r="H130" s="24">
        <f>IFERROR(-VLOOKUP($D130,'0. Control Panel'!$C$7:$F$16,4,FALSE)*(('2. Customer Benefit Input'!$F129+'2. Customer Benefit Input'!I129)*'2. Customer Benefit Input'!$L129)+(VLOOKUP($D130,'0. Control Panel'!$C$7:$F$16,4,FALSE)*('2. Customer Benefit Input'!$F129*'2. Customer Benefit Input'!$L129)),0)</f>
        <v>0</v>
      </c>
      <c r="I130" s="24">
        <f>IFERROR(-VLOOKUP($D130,'0. Control Panel'!$C$7:$F$16,4,FALSE)*(('2. Customer Benefit Input'!$F129+'2. Customer Benefit Input'!J129)*'2. Customer Benefit Input'!$L129)+(VLOOKUP($D130,'0. Control Panel'!$C$7:$F$16,4,FALSE)*('2. Customer Benefit Input'!$F129*'2. Customer Benefit Input'!$L129)),0)</f>
        <v>0</v>
      </c>
      <c r="K130" s="24">
        <f>IFERROR((VLOOKUP($D130,'0. Control Panel'!$C$7:$F$16,4,FALSE)*('2. Customer Benefit Input'!$F129+'2. Customer Benefit Input'!H129)*'2. Customer Benefit Input'!$L129)-(VLOOKUP($D130,'0. Control Panel'!$C$7:$F$16,4,FALSE)*('2. Customer Benefit Input'!$F129+'2. Customer Benefit Input'!H129)*'2. Customer Benefit Input'!N129),0)</f>
        <v>0</v>
      </c>
      <c r="L130" s="24">
        <f>IFERROR((VLOOKUP($D130,'0. Control Panel'!$C$7:$F$16,4,FALSE)*('2. Customer Benefit Input'!$F129+'2. Customer Benefit Input'!I129)*'2. Customer Benefit Input'!$L129)-(VLOOKUP($D130,'0. Control Panel'!$C$7:$F$16,4,FALSE)*('2. Customer Benefit Input'!$F129+'2. Customer Benefit Input'!I129)*'2. Customer Benefit Input'!O129),0)</f>
        <v>0</v>
      </c>
      <c r="M130" s="24">
        <f>IFERROR((VLOOKUP($D130,'0. Control Panel'!$C$7:$F$16,4,FALSE)*('2. Customer Benefit Input'!$F129+'2. Customer Benefit Input'!J129)*'2. Customer Benefit Input'!$L129)-(VLOOKUP($D130,'0. Control Panel'!$C$7:$F$16,4,FALSE)*('2. Customer Benefit Input'!$F129+'2. Customer Benefit Input'!J129)*'2. Customer Benefit Input'!P129),0)</f>
        <v>0</v>
      </c>
      <c r="N130" s="25"/>
      <c r="O130" s="24">
        <f>'2. Customer Benefit Input'!T129</f>
        <v>0</v>
      </c>
      <c r="P130" s="24">
        <f>'2. Customer Benefit Input'!U129</f>
        <v>0</v>
      </c>
      <c r="Q130" s="24">
        <f>'2. Customer Benefit Input'!V129</f>
        <v>0</v>
      </c>
      <c r="R130" s="25"/>
      <c r="S130" s="24">
        <f t="shared" si="133"/>
        <v>0</v>
      </c>
      <c r="T130" s="24">
        <f t="shared" si="130"/>
        <v>0</v>
      </c>
      <c r="U130" s="24">
        <f t="shared" si="131"/>
        <v>0</v>
      </c>
    </row>
    <row r="131" spans="1:21" x14ac:dyDescent="0.25">
      <c r="A131" s="34" t="str">
        <f t="shared" si="132"/>
        <v>FinanceC10</v>
      </c>
      <c r="B131" s="34"/>
      <c r="C131" s="6">
        <f>IF(C130="-","-",IF(C130+1&gt;COUNTA('0. Control Panel'!$C$7:$C$16),"-",'2.1 Customer Benefit Output'!C130+1))</f>
        <v>7</v>
      </c>
      <c r="D131" s="16" t="str">
        <f>IF(C131="-","-",INDEX('0. Control Panel'!$B$6:$K$16,MATCH('2.1 Customer Benefit Output'!$C131,'0. Control Panel'!$B$6:$B$16,0),MATCH(D$7,'0. Control Panel'!$B$6:$K$6,0)))</f>
        <v>Finance</v>
      </c>
      <c r="E131" s="6"/>
      <c r="G131" s="24">
        <f>IFERROR(-VLOOKUP($D131,'0. Control Panel'!$C$7:$F$16,4,FALSE)*(('2. Customer Benefit Input'!$F130+'2. Customer Benefit Input'!H130)*'2. Customer Benefit Input'!$L130)+(VLOOKUP($D131,'0. Control Panel'!$C$7:$F$16,4,FALSE)*('2. Customer Benefit Input'!$F130*'2. Customer Benefit Input'!$L130)),0)</f>
        <v>0</v>
      </c>
      <c r="H131" s="24">
        <f>IFERROR(-VLOOKUP($D131,'0. Control Panel'!$C$7:$F$16,4,FALSE)*(('2. Customer Benefit Input'!$F130+'2. Customer Benefit Input'!I130)*'2. Customer Benefit Input'!$L130)+(VLOOKUP($D131,'0. Control Panel'!$C$7:$F$16,4,FALSE)*('2. Customer Benefit Input'!$F130*'2. Customer Benefit Input'!$L130)),0)</f>
        <v>0</v>
      </c>
      <c r="I131" s="24">
        <f>IFERROR(-VLOOKUP($D131,'0. Control Panel'!$C$7:$F$16,4,FALSE)*(('2. Customer Benefit Input'!$F130+'2. Customer Benefit Input'!J130)*'2. Customer Benefit Input'!$L130)+(VLOOKUP($D131,'0. Control Panel'!$C$7:$F$16,4,FALSE)*('2. Customer Benefit Input'!$F130*'2. Customer Benefit Input'!$L130)),0)</f>
        <v>0</v>
      </c>
      <c r="K131" s="24">
        <f>IFERROR((VLOOKUP($D131,'0. Control Panel'!$C$7:$F$16,4,FALSE)*('2. Customer Benefit Input'!$F130+'2. Customer Benefit Input'!H130)*'2. Customer Benefit Input'!$L130)-(VLOOKUP($D131,'0. Control Panel'!$C$7:$F$16,4,FALSE)*('2. Customer Benefit Input'!$F130+'2. Customer Benefit Input'!H130)*'2. Customer Benefit Input'!N130),0)</f>
        <v>0</v>
      </c>
      <c r="L131" s="24">
        <f>IFERROR((VLOOKUP($D131,'0. Control Panel'!$C$7:$F$16,4,FALSE)*('2. Customer Benefit Input'!$F130+'2. Customer Benefit Input'!I130)*'2. Customer Benefit Input'!$L130)-(VLOOKUP($D131,'0. Control Panel'!$C$7:$F$16,4,FALSE)*('2. Customer Benefit Input'!$F130+'2. Customer Benefit Input'!I130)*'2. Customer Benefit Input'!O130),0)</f>
        <v>0</v>
      </c>
      <c r="M131" s="24">
        <f>IFERROR((VLOOKUP($D131,'0. Control Panel'!$C$7:$F$16,4,FALSE)*('2. Customer Benefit Input'!$F130+'2. Customer Benefit Input'!J130)*'2. Customer Benefit Input'!$L130)-(VLOOKUP($D131,'0. Control Panel'!$C$7:$F$16,4,FALSE)*('2. Customer Benefit Input'!$F130+'2. Customer Benefit Input'!J130)*'2. Customer Benefit Input'!P130),0)</f>
        <v>0</v>
      </c>
      <c r="N131" s="25"/>
      <c r="O131" s="24">
        <f>'2. Customer Benefit Input'!T130</f>
        <v>0</v>
      </c>
      <c r="P131" s="24">
        <f>'2. Customer Benefit Input'!U130</f>
        <v>0</v>
      </c>
      <c r="Q131" s="24">
        <f>'2. Customer Benefit Input'!V130</f>
        <v>0</v>
      </c>
      <c r="R131" s="25"/>
      <c r="S131" s="24">
        <f t="shared" si="133"/>
        <v>0</v>
      </c>
      <c r="T131" s="24">
        <f t="shared" si="130"/>
        <v>0</v>
      </c>
      <c r="U131" s="24">
        <f t="shared" si="131"/>
        <v>0</v>
      </c>
    </row>
    <row r="132" spans="1:21" x14ac:dyDescent="0.25">
      <c r="A132" s="34" t="str">
        <f t="shared" si="132"/>
        <v>Head OfficeC10</v>
      </c>
      <c r="B132" s="34"/>
      <c r="C132" s="6">
        <f>IF(C131="-","-",IF(C131+1&gt;COUNTA('0. Control Panel'!$C$7:$C$16),"-",'2.1 Customer Benefit Output'!C131+1))</f>
        <v>8</v>
      </c>
      <c r="D132" s="16" t="str">
        <f>IF(C132="-","-",INDEX('0. Control Panel'!$B$6:$K$16,MATCH('2.1 Customer Benefit Output'!$C132,'0. Control Panel'!$B$6:$B$16,0),MATCH(D$7,'0. Control Panel'!$B$6:$K$6,0)))</f>
        <v>Head Office</v>
      </c>
      <c r="E132" s="6"/>
      <c r="G132" s="24">
        <f>IFERROR(-VLOOKUP($D132,'0. Control Panel'!$C$7:$F$16,4,FALSE)*(('2. Customer Benefit Input'!$F131+'2. Customer Benefit Input'!H131)*'2. Customer Benefit Input'!$L131)+(VLOOKUP($D132,'0. Control Panel'!$C$7:$F$16,4,FALSE)*('2. Customer Benefit Input'!$F131*'2. Customer Benefit Input'!$L131)),0)</f>
        <v>0</v>
      </c>
      <c r="H132" s="24">
        <f>IFERROR(-VLOOKUP($D132,'0. Control Panel'!$C$7:$F$16,4,FALSE)*(('2. Customer Benefit Input'!$F131+'2. Customer Benefit Input'!I131)*'2. Customer Benefit Input'!$L131)+(VLOOKUP($D132,'0. Control Panel'!$C$7:$F$16,4,FALSE)*('2. Customer Benefit Input'!$F131*'2. Customer Benefit Input'!$L131)),0)</f>
        <v>0</v>
      </c>
      <c r="I132" s="24">
        <f>IFERROR(-VLOOKUP($D132,'0. Control Panel'!$C$7:$F$16,4,FALSE)*(('2. Customer Benefit Input'!$F131+'2. Customer Benefit Input'!J131)*'2. Customer Benefit Input'!$L131)+(VLOOKUP($D132,'0. Control Panel'!$C$7:$F$16,4,FALSE)*('2. Customer Benefit Input'!$F131*'2. Customer Benefit Input'!$L131)),0)</f>
        <v>0</v>
      </c>
      <c r="K132" s="24">
        <f>IFERROR((VLOOKUP($D132,'0. Control Panel'!$C$7:$F$16,4,FALSE)*('2. Customer Benefit Input'!$F131+'2. Customer Benefit Input'!H131)*'2. Customer Benefit Input'!$L131)-(VLOOKUP($D132,'0. Control Panel'!$C$7:$F$16,4,FALSE)*('2. Customer Benefit Input'!$F131+'2. Customer Benefit Input'!H131)*'2. Customer Benefit Input'!N131),0)</f>
        <v>0</v>
      </c>
      <c r="L132" s="24">
        <f>IFERROR((VLOOKUP($D132,'0. Control Panel'!$C$7:$F$16,4,FALSE)*('2. Customer Benefit Input'!$F131+'2. Customer Benefit Input'!I131)*'2. Customer Benefit Input'!$L131)-(VLOOKUP($D132,'0. Control Panel'!$C$7:$F$16,4,FALSE)*('2. Customer Benefit Input'!$F131+'2. Customer Benefit Input'!I131)*'2. Customer Benefit Input'!O131),0)</f>
        <v>0</v>
      </c>
      <c r="M132" s="24">
        <f>IFERROR((VLOOKUP($D132,'0. Control Panel'!$C$7:$F$16,4,FALSE)*('2. Customer Benefit Input'!$F131+'2. Customer Benefit Input'!J131)*'2. Customer Benefit Input'!$L131)-(VLOOKUP($D132,'0. Control Panel'!$C$7:$F$16,4,FALSE)*('2. Customer Benefit Input'!$F131+'2. Customer Benefit Input'!J131)*'2. Customer Benefit Input'!P131),0)</f>
        <v>0</v>
      </c>
      <c r="N132" s="25"/>
      <c r="O132" s="24">
        <f>'2. Customer Benefit Input'!T131</f>
        <v>0</v>
      </c>
      <c r="P132" s="24">
        <f>'2. Customer Benefit Input'!U131</f>
        <v>0</v>
      </c>
      <c r="Q132" s="24">
        <f>'2. Customer Benefit Input'!V131</f>
        <v>0</v>
      </c>
      <c r="R132" s="25"/>
      <c r="S132" s="24">
        <f t="shared" si="133"/>
        <v>0</v>
      </c>
      <c r="T132" s="24">
        <f t="shared" si="130"/>
        <v>0</v>
      </c>
      <c r="U132" s="24">
        <f t="shared" si="131"/>
        <v>0</v>
      </c>
    </row>
    <row r="133" spans="1:21" x14ac:dyDescent="0.25">
      <c r="A133" s="34" t="str">
        <f t="shared" si="132"/>
        <v>-C10</v>
      </c>
      <c r="B133" s="34"/>
      <c r="C133" s="6" t="str">
        <f>IF(C132="-","-",IF(C132+1&gt;COUNTA('0. Control Panel'!$C$7:$C$16),"-",'2.1 Customer Benefit Output'!C132+1))</f>
        <v>-</v>
      </c>
      <c r="D133" s="16" t="str">
        <f>IF(C133="-","-",INDEX('0. Control Panel'!$B$6:$K$16,MATCH('2.1 Customer Benefit Output'!$C133,'0. Control Panel'!$B$6:$B$16,0),MATCH(D$7,'0. Control Panel'!$B$6:$K$6,0)))</f>
        <v>-</v>
      </c>
      <c r="E133" s="6"/>
      <c r="G133" s="24">
        <f>IFERROR(-VLOOKUP($D133,'0. Control Panel'!$C$7:$F$16,4,FALSE)*(('2. Customer Benefit Input'!$F132+'2. Customer Benefit Input'!H132)*'2. Customer Benefit Input'!$L132)+(VLOOKUP($D133,'0. Control Panel'!$C$7:$F$16,4,FALSE)*('2. Customer Benefit Input'!$F132*'2. Customer Benefit Input'!$L132)),0)</f>
        <v>0</v>
      </c>
      <c r="H133" s="24">
        <f>IFERROR(-VLOOKUP($D133,'0. Control Panel'!$C$7:$F$16,4,FALSE)*(('2. Customer Benefit Input'!$F132+'2. Customer Benefit Input'!I132)*'2. Customer Benefit Input'!$L132)+(VLOOKUP($D133,'0. Control Panel'!$C$7:$F$16,4,FALSE)*('2. Customer Benefit Input'!$F132*'2. Customer Benefit Input'!$L132)),0)</f>
        <v>0</v>
      </c>
      <c r="I133" s="24">
        <f>IFERROR(-VLOOKUP($D133,'0. Control Panel'!$C$7:$F$16,4,FALSE)*(('2. Customer Benefit Input'!$F132+'2. Customer Benefit Input'!J132)*'2. Customer Benefit Input'!$L132)+(VLOOKUP($D133,'0. Control Panel'!$C$7:$F$16,4,FALSE)*('2. Customer Benefit Input'!$F132*'2. Customer Benefit Input'!$L132)),0)</f>
        <v>0</v>
      </c>
      <c r="K133" s="24">
        <f>IFERROR((VLOOKUP($D133,'0. Control Panel'!$C$7:$F$16,4,FALSE)*('2. Customer Benefit Input'!$F132+'2. Customer Benefit Input'!H132)*'2. Customer Benefit Input'!$L132)-(VLOOKUP($D133,'0. Control Panel'!$C$7:$F$16,4,FALSE)*('2. Customer Benefit Input'!$F132+'2. Customer Benefit Input'!H132)*'2. Customer Benefit Input'!N132),0)</f>
        <v>0</v>
      </c>
      <c r="L133" s="24">
        <f>IFERROR((VLOOKUP($D133,'0. Control Panel'!$C$7:$F$16,4,FALSE)*('2. Customer Benefit Input'!$F132+'2. Customer Benefit Input'!I132)*'2. Customer Benefit Input'!$L132)-(VLOOKUP($D133,'0. Control Panel'!$C$7:$F$16,4,FALSE)*('2. Customer Benefit Input'!$F132+'2. Customer Benefit Input'!I132)*'2. Customer Benefit Input'!O132),0)</f>
        <v>0</v>
      </c>
      <c r="M133" s="24">
        <f>IFERROR((VLOOKUP($D133,'0. Control Panel'!$C$7:$F$16,4,FALSE)*('2. Customer Benefit Input'!$F132+'2. Customer Benefit Input'!J132)*'2. Customer Benefit Input'!$L132)-(VLOOKUP($D133,'0. Control Panel'!$C$7:$F$16,4,FALSE)*('2. Customer Benefit Input'!$F132+'2. Customer Benefit Input'!J132)*'2. Customer Benefit Input'!P132),0)</f>
        <v>0</v>
      </c>
      <c r="N133" s="25"/>
      <c r="O133" s="24">
        <f>'2. Customer Benefit Input'!T132</f>
        <v>0</v>
      </c>
      <c r="P133" s="24">
        <f>'2. Customer Benefit Input'!U132</f>
        <v>0</v>
      </c>
      <c r="Q133" s="24">
        <f>'2. Customer Benefit Input'!V132</f>
        <v>0</v>
      </c>
      <c r="R133" s="25"/>
      <c r="S133" s="24">
        <f t="shared" si="133"/>
        <v>0</v>
      </c>
      <c r="T133" s="24">
        <f t="shared" si="130"/>
        <v>0</v>
      </c>
      <c r="U133" s="24">
        <f t="shared" si="131"/>
        <v>0</v>
      </c>
    </row>
    <row r="134" spans="1:21" x14ac:dyDescent="0.25">
      <c r="A134" s="34" t="str">
        <f t="shared" si="132"/>
        <v>-C10</v>
      </c>
      <c r="B134" s="34"/>
      <c r="C134" s="7" t="str">
        <f>IF(C133="-","-",IF(C133+1&gt;COUNTA('0. Control Panel'!$C$7:$C$16),"-",'2.1 Customer Benefit Output'!C133+1))</f>
        <v>-</v>
      </c>
      <c r="D134" s="17" t="str">
        <f>IF(C134="-","-",INDEX('0. Control Panel'!$B$6:$K$16,MATCH('2.1 Customer Benefit Output'!$C134,'0. Control Panel'!$B$6:$B$16,0),MATCH(D$7,'0. Control Panel'!$B$6:$K$6,0)))</f>
        <v>-</v>
      </c>
      <c r="E134" s="7"/>
      <c r="G134" s="24">
        <f>IFERROR(-VLOOKUP($D134,'0. Control Panel'!$C$7:$F$16,4,FALSE)*(('2. Customer Benefit Input'!$F133+'2. Customer Benefit Input'!H133)*'2. Customer Benefit Input'!$L133)+(VLOOKUP($D134,'0. Control Panel'!$C$7:$F$16,4,FALSE)*('2. Customer Benefit Input'!$F133*'2. Customer Benefit Input'!$L133)),0)</f>
        <v>0</v>
      </c>
      <c r="H134" s="24">
        <f>IFERROR(-VLOOKUP($D134,'0. Control Panel'!$C$7:$F$16,4,FALSE)*(('2. Customer Benefit Input'!$F133+'2. Customer Benefit Input'!I133)*'2. Customer Benefit Input'!$L133)+(VLOOKUP($D134,'0. Control Panel'!$C$7:$F$16,4,FALSE)*('2. Customer Benefit Input'!$F133*'2. Customer Benefit Input'!$L133)),0)</f>
        <v>0</v>
      </c>
      <c r="I134" s="24">
        <f>IFERROR(-VLOOKUP($D134,'0. Control Panel'!$C$7:$F$16,4,FALSE)*(('2. Customer Benefit Input'!$F133+'2. Customer Benefit Input'!J133)*'2. Customer Benefit Input'!$L133)+(VLOOKUP($D134,'0. Control Panel'!$C$7:$F$16,4,FALSE)*('2. Customer Benefit Input'!$F133*'2. Customer Benefit Input'!$L133)),0)</f>
        <v>0</v>
      </c>
      <c r="K134" s="24">
        <f>IFERROR((VLOOKUP($D134,'0. Control Panel'!$C$7:$F$16,4,FALSE)*('2. Customer Benefit Input'!$F133+'2. Customer Benefit Input'!H133)*'2. Customer Benefit Input'!$L133)-(VLOOKUP($D134,'0. Control Panel'!$C$7:$F$16,4,FALSE)*('2. Customer Benefit Input'!$F133+'2. Customer Benefit Input'!H133)*'2. Customer Benefit Input'!N133),0)</f>
        <v>0</v>
      </c>
      <c r="L134" s="24">
        <f>IFERROR((VLOOKUP($D134,'0. Control Panel'!$C$7:$F$16,4,FALSE)*('2. Customer Benefit Input'!$F133+'2. Customer Benefit Input'!I133)*'2. Customer Benefit Input'!$L133)-(VLOOKUP($D134,'0. Control Panel'!$C$7:$F$16,4,FALSE)*('2. Customer Benefit Input'!$F133+'2. Customer Benefit Input'!I133)*'2. Customer Benefit Input'!O133),0)</f>
        <v>0</v>
      </c>
      <c r="M134" s="24">
        <f>IFERROR((VLOOKUP($D134,'0. Control Panel'!$C$7:$F$16,4,FALSE)*('2. Customer Benefit Input'!$F133+'2. Customer Benefit Input'!J133)*'2. Customer Benefit Input'!$L133)-(VLOOKUP($D134,'0. Control Panel'!$C$7:$F$16,4,FALSE)*('2. Customer Benefit Input'!$F133+'2. Customer Benefit Input'!J133)*'2. Customer Benefit Input'!P133),0)</f>
        <v>0</v>
      </c>
      <c r="N134" s="25"/>
      <c r="O134" s="24">
        <f>'2. Customer Benefit Input'!T133</f>
        <v>0</v>
      </c>
      <c r="P134" s="24">
        <f>'2. Customer Benefit Input'!U133</f>
        <v>0</v>
      </c>
      <c r="Q134" s="24">
        <f>'2. Customer Benefit Input'!V133</f>
        <v>0</v>
      </c>
      <c r="R134" s="25"/>
      <c r="S134" s="24">
        <f t="shared" si="133"/>
        <v>0</v>
      </c>
      <c r="T134" s="24">
        <f t="shared" si="130"/>
        <v>0</v>
      </c>
      <c r="U134" s="24">
        <f t="shared" si="131"/>
        <v>0</v>
      </c>
    </row>
    <row r="135" spans="1:21" ht="16.5" thickBot="1" x14ac:dyDescent="0.3">
      <c r="A135" s="34" t="str">
        <f>D135&amp;$C$124</f>
        <v>All Departments/FunctionsC10</v>
      </c>
      <c r="B135" s="34"/>
      <c r="C135" s="23"/>
      <c r="D135" s="27" t="str">
        <f>D122</f>
        <v>All Departments/Functions</v>
      </c>
      <c r="E135" s="23"/>
      <c r="F135" s="23"/>
      <c r="G135" s="28">
        <f>SUM(G125:G134)</f>
        <v>0</v>
      </c>
      <c r="H135" s="28">
        <f t="shared" ref="H135" si="134">SUM(H125:H134)</f>
        <v>0</v>
      </c>
      <c r="I135" s="28">
        <f t="shared" ref="I135" si="135">SUM(I125:I134)</f>
        <v>0</v>
      </c>
      <c r="J135" s="23"/>
      <c r="K135" s="28">
        <f>SUM(K125:K134)</f>
        <v>0</v>
      </c>
      <c r="L135" s="28">
        <f t="shared" ref="L135" si="136">SUM(L125:L134)</f>
        <v>0</v>
      </c>
      <c r="M135" s="28">
        <f t="shared" ref="M135" si="137">SUM(M125:M134)</f>
        <v>0</v>
      </c>
      <c r="N135" s="29"/>
      <c r="O135" s="28">
        <f t="shared" ref="O135" si="138">SUM(O125:O134)</f>
        <v>0</v>
      </c>
      <c r="P135" s="28">
        <f t="shared" ref="P135" si="139">SUM(P125:P134)</f>
        <v>0</v>
      </c>
      <c r="Q135" s="28">
        <f t="shared" ref="Q135" si="140">SUM(Q125:Q134)</f>
        <v>0</v>
      </c>
      <c r="R135" s="29"/>
      <c r="S135" s="28">
        <f t="shared" ref="S135" si="141">SUM(S125:S134)</f>
        <v>0</v>
      </c>
      <c r="T135" s="28">
        <f t="shared" ref="T135" si="142">SUM(T125:T134)</f>
        <v>0</v>
      </c>
      <c r="U135" s="28">
        <f t="shared" ref="U135" si="143">SUM(U125:U134)</f>
        <v>0</v>
      </c>
    </row>
    <row r="136" spans="1:21" ht="16.5" thickTop="1" x14ac:dyDescent="0.25">
      <c r="A136" s="34"/>
      <c r="B136" s="34"/>
    </row>
    <row r="137" spans="1:21" x14ac:dyDescent="0.25">
      <c r="A137" s="34"/>
      <c r="B137" s="34"/>
    </row>
    <row r="138" spans="1:21" x14ac:dyDescent="0.25">
      <c r="A138" s="34"/>
      <c r="B138" s="34"/>
    </row>
    <row r="139" spans="1:21" x14ac:dyDescent="0.25">
      <c r="A139" s="34"/>
      <c r="B139" s="34"/>
    </row>
    <row r="140" spans="1:21" x14ac:dyDescent="0.25">
      <c r="A140" s="34"/>
      <c r="B140" s="34"/>
    </row>
    <row r="141" spans="1:21" x14ac:dyDescent="0.25">
      <c r="A141" s="34"/>
      <c r="B141" s="34"/>
    </row>
    <row r="142" spans="1:21" x14ac:dyDescent="0.25">
      <c r="A142" s="34"/>
      <c r="B142" s="34"/>
    </row>
    <row r="143" spans="1:21" x14ac:dyDescent="0.25">
      <c r="A143" s="34"/>
      <c r="B143" s="34"/>
    </row>
    <row r="144" spans="1:21" x14ac:dyDescent="0.25">
      <c r="A144" s="34"/>
      <c r="B144" s="34"/>
    </row>
    <row r="145" spans="1:2" x14ac:dyDescent="0.25">
      <c r="A145" s="34"/>
      <c r="B145" s="34"/>
    </row>
  </sheetData>
  <mergeCells count="4">
    <mergeCell ref="K4:M4"/>
    <mergeCell ref="O4:Q4"/>
    <mergeCell ref="S4:U4"/>
    <mergeCell ref="G4:I4"/>
  </mergeCells>
  <pageMargins left="0.7" right="0.7" top="0.75" bottom="0.75" header="0.3" footer="0.3"/>
  <pageSetup paperSize="9"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49"/>
  <sheetViews>
    <sheetView showGridLines="0" zoomScale="85" zoomScaleNormal="85" workbookViewId="0">
      <pane xSplit="5" ySplit="4" topLeftCell="F76" activePane="bottomRight" state="frozen"/>
      <selection activeCell="G10" sqref="G10:H10"/>
      <selection pane="topRight" activeCell="G10" sqref="G10:H10"/>
      <selection pane="bottomLeft" activeCell="G10" sqref="G10:H10"/>
      <selection pane="bottomRight" activeCell="G10" sqref="G10:H10"/>
    </sheetView>
  </sheetViews>
  <sheetFormatPr defaultColWidth="10.875" defaultRowHeight="15.75" x14ac:dyDescent="0.25"/>
  <cols>
    <col min="1" max="1" width="12" style="35" hidden="1" customWidth="1"/>
    <col min="2" max="2" width="4.5" style="35" customWidth="1"/>
    <col min="3" max="3" width="8.125" style="74" bestFit="1" customWidth="1"/>
    <col min="4" max="4" width="44" style="74" customWidth="1"/>
    <col min="5" max="5" width="1.375" style="74" customWidth="1"/>
    <col min="6" max="6" width="8.875" style="194" bestFit="1" customWidth="1"/>
    <col min="7" max="7" width="1.375" style="74" customWidth="1"/>
    <col min="8" max="10" width="12" style="74" customWidth="1"/>
    <col min="11" max="11" width="1.375" style="74" customWidth="1"/>
    <col min="12" max="12" width="18" style="74" customWidth="1"/>
    <col min="13" max="13" width="1.375" style="74" customWidth="1"/>
    <col min="14" max="16" width="12" style="74" customWidth="1"/>
    <col min="17" max="17" width="1.375" style="74" customWidth="1"/>
    <col min="18" max="18" width="15.375" style="74" customWidth="1"/>
    <col min="19" max="19" width="1.375" style="74" customWidth="1"/>
    <col min="20" max="22" width="12" style="74" customWidth="1"/>
    <col min="23" max="24" width="10.875" style="35"/>
    <col min="25" max="25" width="1.375" style="35" customWidth="1"/>
    <col min="26" max="16384" width="10.875" style="35"/>
  </cols>
  <sheetData>
    <row r="2" spans="1:28" x14ac:dyDescent="0.25">
      <c r="I2" s="51" t="s">
        <v>46</v>
      </c>
      <c r="J2" s="51"/>
      <c r="K2" s="51"/>
      <c r="L2" s="51"/>
      <c r="M2" s="51"/>
      <c r="N2" s="195"/>
      <c r="O2" s="51" t="s">
        <v>46</v>
      </c>
      <c r="P2" s="51"/>
      <c r="Q2" s="51"/>
      <c r="R2" s="51"/>
      <c r="S2" s="51"/>
      <c r="T2" s="195"/>
      <c r="U2" s="51" t="s">
        <v>46</v>
      </c>
    </row>
    <row r="3" spans="1:28" ht="29.25" thickBot="1" x14ac:dyDescent="0.3">
      <c r="C3" s="48" t="s">
        <v>160</v>
      </c>
      <c r="D3" s="196"/>
      <c r="F3" s="197" t="s">
        <v>39</v>
      </c>
      <c r="H3" s="323" t="s">
        <v>45</v>
      </c>
      <c r="I3" s="323"/>
      <c r="J3" s="323"/>
      <c r="K3" s="68"/>
      <c r="L3" s="68"/>
      <c r="M3" s="68"/>
      <c r="N3" s="323" t="s">
        <v>47</v>
      </c>
      <c r="O3" s="323"/>
      <c r="P3" s="323"/>
      <c r="Q3" s="68"/>
      <c r="R3" s="68"/>
      <c r="S3" s="68"/>
      <c r="T3" s="323" t="s">
        <v>48</v>
      </c>
      <c r="U3" s="323"/>
      <c r="V3" s="323"/>
    </row>
    <row r="4" spans="1:28" ht="31.5" x14ac:dyDescent="0.25">
      <c r="B4" s="74"/>
      <c r="F4" s="198" t="s">
        <v>33</v>
      </c>
      <c r="H4" s="199" t="str">
        <f>'0. Control Panel'!$C$44</f>
        <v>Conservative</v>
      </c>
      <c r="I4" s="200" t="str">
        <f>'0. Control Panel'!$C$45</f>
        <v>Pragmatic</v>
      </c>
      <c r="J4" s="201" t="str">
        <f>'0. Control Panel'!$C$46</f>
        <v>Aggressive</v>
      </c>
      <c r="K4" s="68"/>
      <c r="L4" s="202" t="s">
        <v>37</v>
      </c>
      <c r="M4" s="71"/>
      <c r="N4" s="199" t="str">
        <f>'0. Control Panel'!$C$44</f>
        <v>Conservative</v>
      </c>
      <c r="O4" s="200" t="str">
        <f>'0. Control Panel'!$C$45</f>
        <v>Pragmatic</v>
      </c>
      <c r="P4" s="201" t="str">
        <f>'0. Control Panel'!$C$46</f>
        <v>Aggressive</v>
      </c>
      <c r="Q4" s="71"/>
      <c r="R4" s="202" t="s">
        <v>44</v>
      </c>
      <c r="S4" s="71"/>
      <c r="T4" s="199" t="str">
        <f>'0. Control Panel'!$C$44</f>
        <v>Conservative</v>
      </c>
      <c r="U4" s="200" t="str">
        <f>'0. Control Panel'!$C$45</f>
        <v>Pragmatic</v>
      </c>
      <c r="V4" s="201" t="str">
        <f>'0. Control Panel'!$C$46</f>
        <v>Aggressive</v>
      </c>
    </row>
    <row r="5" spans="1:28" ht="21" x14ac:dyDescent="0.25">
      <c r="B5" s="74"/>
      <c r="C5" s="187" t="s">
        <v>22</v>
      </c>
      <c r="D5" s="203" t="str">
        <f>IF(INDEX('0. Control Panel'!$B$31:$C$41,MATCH('3. Product Benefit Input'!$C5,'0. Control Panel'!$B$31:$B$41,0),2)="","n/a",INDEX('0. Control Panel'!$B$31:$C$41,MATCH('3. Product Benefit Input'!$C5,'0. Control Panel'!$B$31:$B$41,0),2))</f>
        <v>Reduced Data Management Costs</v>
      </c>
      <c r="F5" s="204"/>
      <c r="H5" s="205"/>
      <c r="I5" s="206"/>
      <c r="J5" s="207"/>
      <c r="L5" s="208"/>
      <c r="M5" s="70"/>
      <c r="N5" s="205"/>
      <c r="O5" s="206"/>
      <c r="P5" s="207"/>
      <c r="Q5" s="70"/>
      <c r="R5" s="208"/>
      <c r="S5" s="70"/>
      <c r="T5" s="205"/>
      <c r="U5" s="206"/>
      <c r="V5" s="207"/>
    </row>
    <row r="6" spans="1:28" x14ac:dyDescent="0.25">
      <c r="B6" s="74"/>
      <c r="D6" s="189" t="str">
        <f>'0. Control Panel'!$C$6</f>
        <v>Departments/Functions</v>
      </c>
      <c r="F6" s="204"/>
      <c r="H6" s="205"/>
      <c r="I6" s="206"/>
      <c r="J6" s="207"/>
      <c r="L6" s="208"/>
      <c r="M6" s="70"/>
      <c r="N6" s="205"/>
      <c r="O6" s="206"/>
      <c r="P6" s="207"/>
      <c r="Q6" s="70"/>
      <c r="R6" s="208"/>
      <c r="S6" s="70"/>
      <c r="T6" s="205"/>
      <c r="U6" s="206"/>
      <c r="V6" s="207"/>
    </row>
    <row r="7" spans="1:28" x14ac:dyDescent="0.25">
      <c r="A7" s="35" t="str">
        <f t="shared" ref="A7:A16" si="0">D7&amp;$C$5</f>
        <v>ITP1</v>
      </c>
      <c r="C7" s="170">
        <f>IF(C6="-","-",IF(C6+1&gt;COUNTA('0. Control Panel'!$C$7:$C$16),"-",C6+1))</f>
        <v>1</v>
      </c>
      <c r="D7" s="171" t="str">
        <f>IF(C7="-","-",INDEX('0. Control Panel'!$B$6:$K$16,MATCH('3. Product Benefit Input'!$C7,'0. Control Panel'!$B$6:$B$16,0),MATCH(D$6,'0. Control Panel'!$B$6:$K$6,0)))</f>
        <v>IT</v>
      </c>
      <c r="E7" s="170"/>
      <c r="F7" s="209">
        <f>IFERROR(INDEX('1. FTE Allocations'!$A$5:$I$307,MATCH($A7,'1. FTE Allocations'!$A$5:$A$307,0),MATCH(F$4,'1. FTE Allocations'!$A$5:$I$5,0)),0)</f>
        <v>59.400000000000006</v>
      </c>
      <c r="H7" s="285">
        <v>0</v>
      </c>
      <c r="I7" s="286">
        <v>-15</v>
      </c>
      <c r="J7" s="287">
        <v>-29</v>
      </c>
      <c r="L7" s="210">
        <f>IFERROR(INDEX('1. FTE Allocations'!$A$5:$I$307,MATCH($A7,'1. FTE Allocations'!$A$5:$A$307,0),MATCH(L$4,'1. FTE Allocations'!$A$5:$I$5,0)),0)</f>
        <v>0.8</v>
      </c>
      <c r="M7" s="211"/>
      <c r="N7" s="294">
        <f t="shared" ref="N7:N16" si="1">$L7</f>
        <v>0.8</v>
      </c>
      <c r="O7" s="295">
        <v>0.7</v>
      </c>
      <c r="P7" s="296">
        <v>0.7</v>
      </c>
      <c r="R7" s="112">
        <f>AVERAGE(T7:V7)</f>
        <v>383333.33333333331</v>
      </c>
      <c r="T7" s="285">
        <v>250000</v>
      </c>
      <c r="U7" s="286">
        <v>350000</v>
      </c>
      <c r="V7" s="287">
        <v>550000</v>
      </c>
      <c r="Z7" s="212"/>
      <c r="AA7" s="212"/>
      <c r="AB7" s="212"/>
    </row>
    <row r="8" spans="1:28" x14ac:dyDescent="0.25">
      <c r="A8" s="35" t="str">
        <f t="shared" si="0"/>
        <v>SalesP1</v>
      </c>
      <c r="C8" s="174">
        <f>IF(C7="-","-",IF(C7+1&gt;COUNTA('0. Control Panel'!$C$7:$C$16),"-",C7+1))</f>
        <v>2</v>
      </c>
      <c r="D8" s="213" t="str">
        <f>IF(C8="-","-",INDEX('0. Control Panel'!$B$6:$K$16,MATCH('3. Product Benefit Input'!$C8,'0. Control Panel'!$B$6:$B$16,0),MATCH(D$6,'0. Control Panel'!$B$6:$K$6,0)))</f>
        <v>Sales</v>
      </c>
      <c r="E8" s="174"/>
      <c r="F8" s="214">
        <f>IFERROR(INDEX('1. FTE Allocations'!$A$5:$I$307,MATCH($A8,'1. FTE Allocations'!$A$5:$A$307,0),MATCH(F$4,'1. FTE Allocations'!$A$5:$I$5,0)),0)</f>
        <v>0</v>
      </c>
      <c r="H8" s="288">
        <v>0</v>
      </c>
      <c r="I8" s="289">
        <v>0</v>
      </c>
      <c r="J8" s="290">
        <v>0</v>
      </c>
      <c r="L8" s="215">
        <f>IFERROR(INDEX('1. FTE Allocations'!$A$5:$I$307,MATCH($A8,'1. FTE Allocations'!$A$5:$A$307,0),MATCH(L$4,'1. FTE Allocations'!$A$5:$I$5,0)),0)</f>
        <v>0</v>
      </c>
      <c r="M8" s="211"/>
      <c r="N8" s="294">
        <f t="shared" si="1"/>
        <v>0</v>
      </c>
      <c r="O8" s="297">
        <f t="shared" ref="O8:P16" si="2">$L8</f>
        <v>0</v>
      </c>
      <c r="P8" s="298">
        <f t="shared" si="2"/>
        <v>0</v>
      </c>
      <c r="R8" s="112">
        <f t="shared" ref="R8:R16" si="3">AVERAGE(T8:V8)</f>
        <v>0</v>
      </c>
      <c r="T8" s="288">
        <v>0</v>
      </c>
      <c r="U8" s="289">
        <v>0</v>
      </c>
      <c r="V8" s="290">
        <v>0</v>
      </c>
      <c r="Z8" s="212"/>
      <c r="AA8" s="212"/>
      <c r="AB8" s="212"/>
    </row>
    <row r="9" spans="1:28" x14ac:dyDescent="0.25">
      <c r="A9" s="35" t="str">
        <f t="shared" si="0"/>
        <v>Product AP1</v>
      </c>
      <c r="C9" s="174">
        <f>IF(C8="-","-",IF(C8+1&gt;COUNTA('0. Control Panel'!$C$7:$C$16),"-",C8+1))</f>
        <v>3</v>
      </c>
      <c r="D9" s="213" t="str">
        <f>IF(C9="-","-",INDEX('0. Control Panel'!$B$6:$K$16,MATCH('3. Product Benefit Input'!$C9,'0. Control Panel'!$B$6:$B$16,0),MATCH(D$6,'0. Control Panel'!$B$6:$K$6,0)))</f>
        <v>Product A</v>
      </c>
      <c r="E9" s="174"/>
      <c r="F9" s="214">
        <f>IFERROR(INDEX('1. FTE Allocations'!$A$5:$I$307,MATCH($A9,'1. FTE Allocations'!$A$5:$A$307,0),MATCH(F$4,'1. FTE Allocations'!$A$5:$I$5,0)),0)</f>
        <v>0</v>
      </c>
      <c r="H9" s="288">
        <v>0</v>
      </c>
      <c r="I9" s="289">
        <v>0</v>
      </c>
      <c r="J9" s="290">
        <v>0</v>
      </c>
      <c r="L9" s="215">
        <f>IFERROR(INDEX('1. FTE Allocations'!$A$5:$I$307,MATCH($A9,'1. FTE Allocations'!$A$5:$A$307,0),MATCH(L$4,'1. FTE Allocations'!$A$5:$I$5,0)),0)</f>
        <v>0</v>
      </c>
      <c r="M9" s="211"/>
      <c r="N9" s="294">
        <f t="shared" si="1"/>
        <v>0</v>
      </c>
      <c r="O9" s="297">
        <f t="shared" si="2"/>
        <v>0</v>
      </c>
      <c r="P9" s="298">
        <f t="shared" si="2"/>
        <v>0</v>
      </c>
      <c r="R9" s="112">
        <f t="shared" si="3"/>
        <v>0</v>
      </c>
      <c r="T9" s="288">
        <v>0</v>
      </c>
      <c r="U9" s="289">
        <v>0</v>
      </c>
      <c r="V9" s="290">
        <v>0</v>
      </c>
      <c r="Z9" s="212"/>
      <c r="AA9" s="212"/>
      <c r="AB9" s="212"/>
    </row>
    <row r="10" spans="1:28" x14ac:dyDescent="0.25">
      <c r="A10" s="35" t="str">
        <f t="shared" si="0"/>
        <v>Product BP1</v>
      </c>
      <c r="C10" s="174">
        <f>IF(C9="-","-",IF(C9+1&gt;COUNTA('0. Control Panel'!$C$7:$C$16),"-",C9+1))</f>
        <v>4</v>
      </c>
      <c r="D10" s="213" t="str">
        <f>IF(C10="-","-",INDEX('0. Control Panel'!$B$6:$K$16,MATCH('3. Product Benefit Input'!$C10,'0. Control Panel'!$B$6:$B$16,0),MATCH(D$6,'0. Control Panel'!$B$6:$K$6,0)))</f>
        <v>Product B</v>
      </c>
      <c r="E10" s="174"/>
      <c r="F10" s="214">
        <f>IFERROR(INDEX('1. FTE Allocations'!$A$5:$I$307,MATCH($A10,'1. FTE Allocations'!$A$5:$A$307,0),MATCH(F$4,'1. FTE Allocations'!$A$5:$I$5,0)),0)</f>
        <v>0</v>
      </c>
      <c r="H10" s="288">
        <v>0</v>
      </c>
      <c r="I10" s="289">
        <v>0</v>
      </c>
      <c r="J10" s="290">
        <v>0</v>
      </c>
      <c r="L10" s="215">
        <f>IFERROR(INDEX('1. FTE Allocations'!$A$5:$I$307,MATCH($A10,'1. FTE Allocations'!$A$5:$A$307,0),MATCH(L$4,'1. FTE Allocations'!$A$5:$I$5,0)),0)</f>
        <v>0</v>
      </c>
      <c r="M10" s="211"/>
      <c r="N10" s="294">
        <f t="shared" si="1"/>
        <v>0</v>
      </c>
      <c r="O10" s="297">
        <f t="shared" si="2"/>
        <v>0</v>
      </c>
      <c r="P10" s="298">
        <f t="shared" si="2"/>
        <v>0</v>
      </c>
      <c r="R10" s="112">
        <f t="shared" si="3"/>
        <v>0</v>
      </c>
      <c r="T10" s="288">
        <v>0</v>
      </c>
      <c r="U10" s="289">
        <v>0</v>
      </c>
      <c r="V10" s="290">
        <v>0</v>
      </c>
      <c r="Z10" s="212"/>
      <c r="AA10" s="212"/>
      <c r="AB10" s="212"/>
    </row>
    <row r="11" spans="1:28" x14ac:dyDescent="0.25">
      <c r="A11" s="35" t="str">
        <f t="shared" si="0"/>
        <v>R&amp;DP1</v>
      </c>
      <c r="C11" s="174">
        <f>IF(C10="-","-",IF(C10+1&gt;COUNTA('0. Control Panel'!$C$7:$C$16),"-",C10+1))</f>
        <v>5</v>
      </c>
      <c r="D11" s="213" t="str">
        <f>IF(C11="-","-",INDEX('0. Control Panel'!$B$6:$K$16,MATCH('3. Product Benefit Input'!$C11,'0. Control Panel'!$B$6:$B$16,0),MATCH(D$6,'0. Control Panel'!$B$6:$K$6,0)))</f>
        <v>R&amp;D</v>
      </c>
      <c r="E11" s="174"/>
      <c r="F11" s="214">
        <f>IFERROR(INDEX('1. FTE Allocations'!$A$5:$I$307,MATCH($A11,'1. FTE Allocations'!$A$5:$A$307,0),MATCH(F$4,'1. FTE Allocations'!$A$5:$I$5,0)),0)</f>
        <v>0</v>
      </c>
      <c r="H11" s="288">
        <v>0</v>
      </c>
      <c r="I11" s="289">
        <v>0</v>
      </c>
      <c r="J11" s="290">
        <v>0</v>
      </c>
      <c r="L11" s="215">
        <f>IFERROR(INDEX('1. FTE Allocations'!$A$5:$I$307,MATCH($A11,'1. FTE Allocations'!$A$5:$A$307,0),MATCH(L$4,'1. FTE Allocations'!$A$5:$I$5,0)),0)</f>
        <v>0</v>
      </c>
      <c r="M11" s="211"/>
      <c r="N11" s="294">
        <f t="shared" si="1"/>
        <v>0</v>
      </c>
      <c r="O11" s="297">
        <f t="shared" si="2"/>
        <v>0</v>
      </c>
      <c r="P11" s="298">
        <f t="shared" si="2"/>
        <v>0</v>
      </c>
      <c r="R11" s="112">
        <f t="shared" si="3"/>
        <v>0</v>
      </c>
      <c r="T11" s="288">
        <v>0</v>
      </c>
      <c r="U11" s="289">
        <v>0</v>
      </c>
      <c r="V11" s="290">
        <v>0</v>
      </c>
      <c r="Z11" s="212"/>
      <c r="AA11" s="212"/>
      <c r="AB11" s="212"/>
    </row>
    <row r="12" spans="1:28" x14ac:dyDescent="0.25">
      <c r="A12" s="35" t="str">
        <f t="shared" si="0"/>
        <v>HRP1</v>
      </c>
      <c r="C12" s="174">
        <f>IF(C11="-","-",IF(C11+1&gt;COUNTA('0. Control Panel'!$C$7:$C$16),"-",C11+1))</f>
        <v>6</v>
      </c>
      <c r="D12" s="213" t="str">
        <f>IF(C12="-","-",INDEX('0. Control Panel'!$B$6:$K$16,MATCH('3. Product Benefit Input'!$C12,'0. Control Panel'!$B$6:$B$16,0),MATCH(D$6,'0. Control Panel'!$B$6:$K$6,0)))</f>
        <v>HR</v>
      </c>
      <c r="E12" s="174"/>
      <c r="F12" s="214">
        <f>IFERROR(INDEX('1. FTE Allocations'!$A$5:$I$307,MATCH($A12,'1. FTE Allocations'!$A$5:$A$307,0),MATCH(F$4,'1. FTE Allocations'!$A$5:$I$5,0)),0)</f>
        <v>18.900000000000002</v>
      </c>
      <c r="H12" s="288">
        <v>-2</v>
      </c>
      <c r="I12" s="289">
        <v>-5</v>
      </c>
      <c r="J12" s="290">
        <v>-9</v>
      </c>
      <c r="L12" s="215">
        <f>IFERROR(INDEX('1. FTE Allocations'!$A$5:$I$307,MATCH($A12,'1. FTE Allocations'!$A$5:$A$307,0),MATCH(L$4,'1. FTE Allocations'!$A$5:$I$5,0)),0)</f>
        <v>1</v>
      </c>
      <c r="M12" s="211"/>
      <c r="N12" s="294">
        <f t="shared" si="1"/>
        <v>1</v>
      </c>
      <c r="O12" s="297">
        <f t="shared" si="2"/>
        <v>1</v>
      </c>
      <c r="P12" s="298">
        <f t="shared" si="2"/>
        <v>1</v>
      </c>
      <c r="R12" s="112">
        <f t="shared" si="3"/>
        <v>0</v>
      </c>
      <c r="T12" s="288">
        <v>0</v>
      </c>
      <c r="U12" s="289">
        <v>0</v>
      </c>
      <c r="V12" s="290">
        <v>0</v>
      </c>
      <c r="Z12" s="212"/>
      <c r="AA12" s="212"/>
      <c r="AB12" s="212"/>
    </row>
    <row r="13" spans="1:28" x14ac:dyDescent="0.25">
      <c r="A13" s="35" t="str">
        <f t="shared" si="0"/>
        <v>FinanceP1</v>
      </c>
      <c r="C13" s="174">
        <f>IF(C12="-","-",IF(C12+1&gt;COUNTA('0. Control Panel'!$C$7:$C$16),"-",C12+1))</f>
        <v>7</v>
      </c>
      <c r="D13" s="213" t="str">
        <f>IF(C13="-","-",INDEX('0. Control Panel'!$B$6:$K$16,MATCH('3. Product Benefit Input'!$C13,'0. Control Panel'!$B$6:$B$16,0),MATCH(D$6,'0. Control Panel'!$B$6:$K$6,0)))</f>
        <v>Finance</v>
      </c>
      <c r="E13" s="174"/>
      <c r="F13" s="214">
        <f>IFERROR(INDEX('1. FTE Allocations'!$A$5:$I$307,MATCH($A13,'1. FTE Allocations'!$A$5:$A$307,0),MATCH(F$4,'1. FTE Allocations'!$A$5:$I$5,0)),0)</f>
        <v>0</v>
      </c>
      <c r="H13" s="288">
        <v>0</v>
      </c>
      <c r="I13" s="289">
        <v>0</v>
      </c>
      <c r="J13" s="290">
        <v>0</v>
      </c>
      <c r="L13" s="215">
        <f>IFERROR(INDEX('1. FTE Allocations'!$A$5:$I$307,MATCH($A13,'1. FTE Allocations'!$A$5:$A$307,0),MATCH(L$4,'1. FTE Allocations'!$A$5:$I$5,0)),0)</f>
        <v>0</v>
      </c>
      <c r="M13" s="211"/>
      <c r="N13" s="294">
        <f t="shared" si="1"/>
        <v>0</v>
      </c>
      <c r="O13" s="297">
        <f t="shared" si="2"/>
        <v>0</v>
      </c>
      <c r="P13" s="298">
        <f t="shared" si="2"/>
        <v>0</v>
      </c>
      <c r="R13" s="112">
        <f t="shared" si="3"/>
        <v>0</v>
      </c>
      <c r="T13" s="288">
        <v>0</v>
      </c>
      <c r="U13" s="289">
        <v>0</v>
      </c>
      <c r="V13" s="290">
        <v>0</v>
      </c>
      <c r="Z13" s="212"/>
      <c r="AA13" s="212"/>
      <c r="AB13" s="212"/>
    </row>
    <row r="14" spans="1:28" x14ac:dyDescent="0.25">
      <c r="A14" s="35" t="str">
        <f t="shared" si="0"/>
        <v>Head OfficeP1</v>
      </c>
      <c r="C14" s="174">
        <f>IF(C13="-","-",IF(C13+1&gt;COUNTA('0. Control Panel'!$C$7:$C$16),"-",C13+1))</f>
        <v>8</v>
      </c>
      <c r="D14" s="213" t="str">
        <f>IF(C14="-","-",INDEX('0. Control Panel'!$B$6:$K$16,MATCH('3. Product Benefit Input'!$C14,'0. Control Panel'!$B$6:$B$16,0),MATCH(D$6,'0. Control Panel'!$B$6:$K$6,0)))</f>
        <v>Head Office</v>
      </c>
      <c r="E14" s="174"/>
      <c r="F14" s="214">
        <f>IFERROR(INDEX('1. FTE Allocations'!$A$5:$I$307,MATCH($A14,'1. FTE Allocations'!$A$5:$A$307,0),MATCH(F$4,'1. FTE Allocations'!$A$5:$I$5,0)),0)</f>
        <v>6.0750000000000002</v>
      </c>
      <c r="H14" s="288">
        <v>0</v>
      </c>
      <c r="I14" s="289">
        <v>-1</v>
      </c>
      <c r="J14" s="290">
        <v>-2</v>
      </c>
      <c r="L14" s="215">
        <f>IFERROR(INDEX('1. FTE Allocations'!$A$5:$I$307,MATCH($A14,'1. FTE Allocations'!$A$5:$A$307,0),MATCH(L$4,'1. FTE Allocations'!$A$5:$I$5,0)),0)</f>
        <v>0.5</v>
      </c>
      <c r="M14" s="211"/>
      <c r="N14" s="294">
        <f t="shared" si="1"/>
        <v>0.5</v>
      </c>
      <c r="O14" s="297">
        <v>0.4</v>
      </c>
      <c r="P14" s="298">
        <v>0.3</v>
      </c>
      <c r="R14" s="112">
        <f t="shared" si="3"/>
        <v>0</v>
      </c>
      <c r="T14" s="288">
        <v>0</v>
      </c>
      <c r="U14" s="289">
        <v>0</v>
      </c>
      <c r="V14" s="290">
        <v>0</v>
      </c>
      <c r="Z14" s="212"/>
      <c r="AA14" s="212"/>
      <c r="AB14" s="212"/>
    </row>
    <row r="15" spans="1:28" x14ac:dyDescent="0.25">
      <c r="A15" s="35" t="str">
        <f t="shared" si="0"/>
        <v>-P1</v>
      </c>
      <c r="C15" s="174" t="str">
        <f>IF(C14="-","-",IF(C14+1&gt;COUNTA('0. Control Panel'!$C$7:$C$16),"-",C14+1))</f>
        <v>-</v>
      </c>
      <c r="D15" s="213" t="str">
        <f>IF(C15="-","-",INDEX('0. Control Panel'!$B$6:$K$16,MATCH('3. Product Benefit Input'!$C15,'0. Control Panel'!$B$6:$B$16,0),MATCH(D$6,'0. Control Panel'!$B$6:$K$6,0)))</f>
        <v>-</v>
      </c>
      <c r="E15" s="174"/>
      <c r="F15" s="214">
        <f>IFERROR(INDEX('1. FTE Allocations'!$A$5:$I$307,MATCH($A15,'1. FTE Allocations'!$A$5:$A$307,0),MATCH(F$4,'1. FTE Allocations'!$A$5:$I$5,0)),0)</f>
        <v>0</v>
      </c>
      <c r="H15" s="288">
        <v>0</v>
      </c>
      <c r="I15" s="289">
        <v>0</v>
      </c>
      <c r="J15" s="290">
        <v>0</v>
      </c>
      <c r="L15" s="215">
        <f>IFERROR(INDEX('1. FTE Allocations'!$A$5:$I$307,MATCH($A15,'1. FTE Allocations'!$A$5:$A$307,0),MATCH(L$4,'1. FTE Allocations'!$A$5:$I$5,0)),0)</f>
        <v>0</v>
      </c>
      <c r="M15" s="211"/>
      <c r="N15" s="294">
        <f t="shared" si="1"/>
        <v>0</v>
      </c>
      <c r="O15" s="297">
        <f t="shared" si="2"/>
        <v>0</v>
      </c>
      <c r="P15" s="298">
        <f t="shared" si="2"/>
        <v>0</v>
      </c>
      <c r="R15" s="112">
        <f t="shared" si="3"/>
        <v>0</v>
      </c>
      <c r="T15" s="288">
        <v>0</v>
      </c>
      <c r="U15" s="289">
        <v>0</v>
      </c>
      <c r="V15" s="290">
        <v>0</v>
      </c>
      <c r="Z15" s="212"/>
      <c r="AA15" s="212"/>
      <c r="AB15" s="212"/>
    </row>
    <row r="16" spans="1:28" x14ac:dyDescent="0.25">
      <c r="A16" s="35" t="str">
        <f t="shared" si="0"/>
        <v>-P1</v>
      </c>
      <c r="C16" s="175" t="str">
        <f>IF(C15="-","-",IF(C15+1&gt;COUNTA('0. Control Panel'!$C$7:$C$16),"-",C15+1))</f>
        <v>-</v>
      </c>
      <c r="D16" s="176" t="str">
        <f>IF(C16="-","-",INDEX('0. Control Panel'!$B$6:$K$16,MATCH('3. Product Benefit Input'!$C16,'0. Control Panel'!$B$6:$B$16,0),MATCH(D$6,'0. Control Panel'!$B$6:$K$6,0)))</f>
        <v>-</v>
      </c>
      <c r="E16" s="175"/>
      <c r="F16" s="216">
        <f>IFERROR(INDEX('1. FTE Allocations'!$A$5:$I$307,MATCH($A16,'1. FTE Allocations'!$A$5:$A$307,0),MATCH(F$4,'1. FTE Allocations'!$A$5:$I$5,0)),0)</f>
        <v>0</v>
      </c>
      <c r="H16" s="291">
        <v>0</v>
      </c>
      <c r="I16" s="292">
        <v>0</v>
      </c>
      <c r="J16" s="293">
        <v>0</v>
      </c>
      <c r="L16" s="217">
        <f>IFERROR(INDEX('1. FTE Allocations'!$A$5:$I$307,MATCH($A16,'1. FTE Allocations'!$A$5:$A$307,0),MATCH(L$4,'1. FTE Allocations'!$A$5:$I$5,0)),0)</f>
        <v>0</v>
      </c>
      <c r="M16" s="211"/>
      <c r="N16" s="299">
        <f t="shared" si="1"/>
        <v>0</v>
      </c>
      <c r="O16" s="300">
        <f t="shared" si="2"/>
        <v>0</v>
      </c>
      <c r="P16" s="301">
        <f t="shared" si="2"/>
        <v>0</v>
      </c>
      <c r="R16" s="112">
        <f t="shared" si="3"/>
        <v>0</v>
      </c>
      <c r="T16" s="291">
        <v>0</v>
      </c>
      <c r="U16" s="292">
        <v>0</v>
      </c>
      <c r="V16" s="293">
        <v>0</v>
      </c>
      <c r="Z16" s="212"/>
      <c r="AA16" s="212"/>
      <c r="AB16" s="212"/>
    </row>
    <row r="17" spans="1:22" x14ac:dyDescent="0.25">
      <c r="D17" s="314" t="s">
        <v>72</v>
      </c>
      <c r="F17" s="315">
        <f>SUM(F7:F16)</f>
        <v>84.375000000000014</v>
      </c>
      <c r="G17" s="35"/>
      <c r="R17" s="316">
        <f>SUM(R7:R16)</f>
        <v>383333.33333333331</v>
      </c>
    </row>
    <row r="18" spans="1:22" ht="9.9499999999999993" customHeight="1" x14ac:dyDescent="0.25">
      <c r="F18" s="313"/>
      <c r="G18" s="35"/>
      <c r="R18" s="164"/>
    </row>
    <row r="19" spans="1:22" ht="15.95" customHeight="1" x14ac:dyDescent="0.25">
      <c r="C19" s="187" t="s">
        <v>23</v>
      </c>
      <c r="D19" s="203" t="str">
        <f>IF(INDEX('0. Control Panel'!$B$31:$C$41,MATCH('3. Product Benefit Input'!$C19,'0. Control Panel'!$B$31:$B$41,0),2)="","n/a",INDEX('0. Control Panel'!$B$31:$C$41,MATCH('3. Product Benefit Input'!$C19,'0. Control Panel'!$B$31:$B$41,0),2))</f>
        <v>Reduced Report Generation Cost</v>
      </c>
      <c r="F19" s="218"/>
      <c r="G19" s="35"/>
      <c r="H19" s="35"/>
      <c r="I19" s="35"/>
      <c r="J19" s="35"/>
      <c r="K19" s="35"/>
      <c r="L19" s="35"/>
      <c r="M19" s="35"/>
      <c r="N19" s="35"/>
      <c r="O19" s="35"/>
      <c r="P19" s="35"/>
      <c r="Q19" s="35"/>
      <c r="R19" s="35"/>
      <c r="S19" s="35"/>
      <c r="T19" s="35"/>
      <c r="U19" s="35"/>
      <c r="V19" s="35"/>
    </row>
    <row r="20" spans="1:22" x14ac:dyDescent="0.25">
      <c r="A20" s="35" t="str">
        <f>D20&amp;$C$19</f>
        <v>ITP2</v>
      </c>
      <c r="C20" s="174">
        <f>IF(C17="-","-",IF(C17+1&gt;COUNTA('0. Control Panel'!$C$7:$C$16),"-",C17+1))</f>
        <v>1</v>
      </c>
      <c r="D20" s="171" t="str">
        <f>IF(C20="-","-",INDEX('0. Control Panel'!$B$6:$K$16,MATCH('3. Product Benefit Input'!$C20,'0. Control Panel'!$B$6:$B$16,0),MATCH(D$6,'0. Control Panel'!$B$6:$K$6,0)))</f>
        <v>IT</v>
      </c>
      <c r="E20" s="170"/>
      <c r="F20" s="209">
        <f>IFERROR(INDEX('1. FTE Allocations'!$A$5:$I$307,MATCH($A20,'1. FTE Allocations'!$A$5:$A$307,0),MATCH(F$4,'1. FTE Allocations'!$A$5:$I$5,0)),0)</f>
        <v>14.850000000000001</v>
      </c>
      <c r="H20" s="285">
        <v>0</v>
      </c>
      <c r="I20" s="286">
        <v>0</v>
      </c>
      <c r="J20" s="287">
        <v>0</v>
      </c>
      <c r="L20" s="210">
        <f>IFERROR(INDEX('1. FTE Allocations'!$A$5:$I$307,MATCH($A20,'1. FTE Allocations'!$A$5:$A$307,0),MATCH(L$4,'1. FTE Allocations'!$A$5:$I$5,0)),0)</f>
        <v>0.6</v>
      </c>
      <c r="M20" s="211"/>
      <c r="N20" s="302">
        <f>$L20</f>
        <v>0.6</v>
      </c>
      <c r="O20" s="295">
        <f t="shared" ref="O20:P29" si="4">$L20</f>
        <v>0.6</v>
      </c>
      <c r="P20" s="296">
        <f t="shared" si="4"/>
        <v>0.6</v>
      </c>
      <c r="R20" s="112">
        <f>AVERAGE(T20:V20)</f>
        <v>0</v>
      </c>
      <c r="T20" s="285">
        <v>0</v>
      </c>
      <c r="U20" s="286">
        <v>0</v>
      </c>
      <c r="V20" s="287">
        <v>0</v>
      </c>
    </row>
    <row r="21" spans="1:22" x14ac:dyDescent="0.25">
      <c r="A21" s="35" t="str">
        <f t="shared" ref="A21:A29" si="5">D21&amp;$C$19</f>
        <v>SalesP2</v>
      </c>
      <c r="C21" s="174">
        <f>IF(C20="-","-",IF(C20+1&gt;COUNTA('0. Control Panel'!$C$7:$C$16),"-",C20+1))</f>
        <v>2</v>
      </c>
      <c r="D21" s="213" t="str">
        <f>IF(C21="-","-",INDEX('0. Control Panel'!$B$6:$K$16,MATCH('3. Product Benefit Input'!$C21,'0. Control Panel'!$B$6:$B$16,0),MATCH(D$6,'0. Control Panel'!$B$6:$K$6,0)))</f>
        <v>Sales</v>
      </c>
      <c r="E21" s="174"/>
      <c r="F21" s="214">
        <f>IFERROR(INDEX('1. FTE Allocations'!$A$5:$I$307,MATCH($A21,'1. FTE Allocations'!$A$5:$A$307,0),MATCH(F$4,'1. FTE Allocations'!$A$5:$I$5,0)),0)</f>
        <v>0</v>
      </c>
      <c r="H21" s="288">
        <v>0</v>
      </c>
      <c r="I21" s="289">
        <v>0</v>
      </c>
      <c r="J21" s="290">
        <v>0</v>
      </c>
      <c r="L21" s="215">
        <f>IFERROR(INDEX('1. FTE Allocations'!$A$5:$I$307,MATCH($A21,'1. FTE Allocations'!$A$5:$A$307,0),MATCH(L$4,'1. FTE Allocations'!$A$5:$I$5,0)),0)</f>
        <v>0</v>
      </c>
      <c r="M21" s="211"/>
      <c r="N21" s="294">
        <f t="shared" ref="N21:N29" si="6">$L21</f>
        <v>0</v>
      </c>
      <c r="O21" s="297">
        <f t="shared" si="4"/>
        <v>0</v>
      </c>
      <c r="P21" s="298">
        <f t="shared" si="4"/>
        <v>0</v>
      </c>
      <c r="R21" s="112">
        <f t="shared" ref="R21:R29" si="7">AVERAGE(T21:V21)</f>
        <v>0</v>
      </c>
      <c r="T21" s="288">
        <v>0</v>
      </c>
      <c r="U21" s="289">
        <v>0</v>
      </c>
      <c r="V21" s="290">
        <v>0</v>
      </c>
    </row>
    <row r="22" spans="1:22" x14ac:dyDescent="0.25">
      <c r="A22" s="35" t="str">
        <f t="shared" si="5"/>
        <v>Product AP2</v>
      </c>
      <c r="C22" s="174">
        <f>IF(C21="-","-",IF(C21+1&gt;COUNTA('0. Control Panel'!$C$7:$C$16),"-",C21+1))</f>
        <v>3</v>
      </c>
      <c r="D22" s="213" t="str">
        <f>IF(C22="-","-",INDEX('0. Control Panel'!$B$6:$K$16,MATCH('3. Product Benefit Input'!$C22,'0. Control Panel'!$B$6:$B$16,0),MATCH(D$6,'0. Control Panel'!$B$6:$K$6,0)))</f>
        <v>Product A</v>
      </c>
      <c r="E22" s="174"/>
      <c r="F22" s="214">
        <f>IFERROR(INDEX('1. FTE Allocations'!$A$5:$I$307,MATCH($A22,'1. FTE Allocations'!$A$5:$A$307,0),MATCH(F$4,'1. FTE Allocations'!$A$5:$I$5,0)),0)</f>
        <v>0</v>
      </c>
      <c r="H22" s="288">
        <v>0</v>
      </c>
      <c r="I22" s="289">
        <v>0</v>
      </c>
      <c r="J22" s="290">
        <v>0</v>
      </c>
      <c r="L22" s="215">
        <f>IFERROR(INDEX('1. FTE Allocations'!$A$5:$I$307,MATCH($A22,'1. FTE Allocations'!$A$5:$A$307,0),MATCH(L$4,'1. FTE Allocations'!$A$5:$I$5,0)),0)</f>
        <v>0</v>
      </c>
      <c r="M22" s="211"/>
      <c r="N22" s="294">
        <f t="shared" si="6"/>
        <v>0</v>
      </c>
      <c r="O22" s="297">
        <f t="shared" si="4"/>
        <v>0</v>
      </c>
      <c r="P22" s="298">
        <f t="shared" si="4"/>
        <v>0</v>
      </c>
      <c r="R22" s="112">
        <f t="shared" si="7"/>
        <v>0</v>
      </c>
      <c r="T22" s="288">
        <v>0</v>
      </c>
      <c r="U22" s="289">
        <v>0</v>
      </c>
      <c r="V22" s="290">
        <v>0</v>
      </c>
    </row>
    <row r="23" spans="1:22" x14ac:dyDescent="0.25">
      <c r="A23" s="35" t="str">
        <f t="shared" si="5"/>
        <v>Product BP2</v>
      </c>
      <c r="C23" s="174">
        <f>IF(C22="-","-",IF(C22+1&gt;COUNTA('0. Control Panel'!$C$7:$C$16),"-",C22+1))</f>
        <v>4</v>
      </c>
      <c r="D23" s="213" t="str">
        <f>IF(C23="-","-",INDEX('0. Control Panel'!$B$6:$K$16,MATCH('3. Product Benefit Input'!$C23,'0. Control Panel'!$B$6:$B$16,0),MATCH(D$6,'0. Control Panel'!$B$6:$K$6,0)))</f>
        <v>Product B</v>
      </c>
      <c r="E23" s="174"/>
      <c r="F23" s="214">
        <f>IFERROR(INDEX('1. FTE Allocations'!$A$5:$I$307,MATCH($A23,'1. FTE Allocations'!$A$5:$A$307,0),MATCH(F$4,'1. FTE Allocations'!$A$5:$I$5,0)),0)</f>
        <v>0</v>
      </c>
      <c r="H23" s="288">
        <v>0</v>
      </c>
      <c r="I23" s="289">
        <v>0</v>
      </c>
      <c r="J23" s="290">
        <v>0</v>
      </c>
      <c r="L23" s="215">
        <f>IFERROR(INDEX('1. FTE Allocations'!$A$5:$I$307,MATCH($A23,'1. FTE Allocations'!$A$5:$A$307,0),MATCH(L$4,'1. FTE Allocations'!$A$5:$I$5,0)),0)</f>
        <v>0</v>
      </c>
      <c r="M23" s="211"/>
      <c r="N23" s="294">
        <f t="shared" si="6"/>
        <v>0</v>
      </c>
      <c r="O23" s="297">
        <f t="shared" si="4"/>
        <v>0</v>
      </c>
      <c r="P23" s="298">
        <f t="shared" si="4"/>
        <v>0</v>
      </c>
      <c r="R23" s="112">
        <f t="shared" si="7"/>
        <v>0</v>
      </c>
      <c r="T23" s="288">
        <v>0</v>
      </c>
      <c r="U23" s="289">
        <v>0</v>
      </c>
      <c r="V23" s="290">
        <v>0</v>
      </c>
    </row>
    <row r="24" spans="1:22" x14ac:dyDescent="0.25">
      <c r="A24" s="35" t="str">
        <f t="shared" si="5"/>
        <v>R&amp;DP2</v>
      </c>
      <c r="C24" s="174">
        <f>IF(C23="-","-",IF(C23+1&gt;COUNTA('0. Control Panel'!$C$7:$C$16),"-",C23+1))</f>
        <v>5</v>
      </c>
      <c r="D24" s="213" t="str">
        <f>IF(C24="-","-",INDEX('0. Control Panel'!$B$6:$K$16,MATCH('3. Product Benefit Input'!$C24,'0. Control Panel'!$B$6:$B$16,0),MATCH(D$6,'0. Control Panel'!$B$6:$K$6,0)))</f>
        <v>R&amp;D</v>
      </c>
      <c r="E24" s="174"/>
      <c r="F24" s="214">
        <f>IFERROR(INDEX('1. FTE Allocations'!$A$5:$I$307,MATCH($A24,'1. FTE Allocations'!$A$5:$A$307,0),MATCH(F$4,'1. FTE Allocations'!$A$5:$I$5,0)),0)</f>
        <v>0</v>
      </c>
      <c r="H24" s="288">
        <v>0</v>
      </c>
      <c r="I24" s="289">
        <v>0</v>
      </c>
      <c r="J24" s="290">
        <v>0</v>
      </c>
      <c r="L24" s="215">
        <f>IFERROR(INDEX('1. FTE Allocations'!$A$5:$I$307,MATCH($A24,'1. FTE Allocations'!$A$5:$A$307,0),MATCH(L$4,'1. FTE Allocations'!$A$5:$I$5,0)),0)</f>
        <v>0</v>
      </c>
      <c r="M24" s="211"/>
      <c r="N24" s="294">
        <f t="shared" si="6"/>
        <v>0</v>
      </c>
      <c r="O24" s="297">
        <f t="shared" si="4"/>
        <v>0</v>
      </c>
      <c r="P24" s="298">
        <f t="shared" si="4"/>
        <v>0</v>
      </c>
      <c r="R24" s="112">
        <f t="shared" si="7"/>
        <v>0</v>
      </c>
      <c r="T24" s="288">
        <v>0</v>
      </c>
      <c r="U24" s="289">
        <v>0</v>
      </c>
      <c r="V24" s="290">
        <v>0</v>
      </c>
    </row>
    <row r="25" spans="1:22" x14ac:dyDescent="0.25">
      <c r="A25" s="35" t="str">
        <f t="shared" si="5"/>
        <v>HRP2</v>
      </c>
      <c r="C25" s="174">
        <f>IF(C24="-","-",IF(C24+1&gt;COUNTA('0. Control Panel'!$C$7:$C$16),"-",C24+1))</f>
        <v>6</v>
      </c>
      <c r="D25" s="213" t="str">
        <f>IF(C25="-","-",INDEX('0. Control Panel'!$B$6:$K$16,MATCH('3. Product Benefit Input'!$C25,'0. Control Panel'!$B$6:$B$16,0),MATCH(D$6,'0. Control Panel'!$B$6:$K$6,0)))</f>
        <v>HR</v>
      </c>
      <c r="E25" s="174"/>
      <c r="F25" s="214">
        <f>IFERROR(INDEX('1. FTE Allocations'!$A$5:$I$307,MATCH($A25,'1. FTE Allocations'!$A$5:$A$307,0),MATCH(F$4,'1. FTE Allocations'!$A$5:$I$5,0)),0)</f>
        <v>4.7250000000000005</v>
      </c>
      <c r="H25" s="288">
        <v>0</v>
      </c>
      <c r="I25" s="289">
        <v>0</v>
      </c>
      <c r="J25" s="290">
        <v>0</v>
      </c>
      <c r="L25" s="215">
        <f>IFERROR(INDEX('1. FTE Allocations'!$A$5:$I$307,MATCH($A25,'1. FTE Allocations'!$A$5:$A$307,0),MATCH(L$4,'1. FTE Allocations'!$A$5:$I$5,0)),0)</f>
        <v>0.33</v>
      </c>
      <c r="M25" s="211"/>
      <c r="N25" s="294">
        <f t="shared" si="6"/>
        <v>0.33</v>
      </c>
      <c r="O25" s="297">
        <f t="shared" si="4"/>
        <v>0.33</v>
      </c>
      <c r="P25" s="298">
        <f t="shared" si="4"/>
        <v>0.33</v>
      </c>
      <c r="R25" s="112">
        <f t="shared" si="7"/>
        <v>0</v>
      </c>
      <c r="T25" s="288">
        <v>0</v>
      </c>
      <c r="U25" s="289">
        <v>0</v>
      </c>
      <c r="V25" s="290">
        <v>0</v>
      </c>
    </row>
    <row r="26" spans="1:22" x14ac:dyDescent="0.25">
      <c r="A26" s="35" t="str">
        <f t="shared" si="5"/>
        <v>FinanceP2</v>
      </c>
      <c r="C26" s="174">
        <f>IF(C25="-","-",IF(C25+1&gt;COUNTA('0. Control Panel'!$C$7:$C$16),"-",C25+1))</f>
        <v>7</v>
      </c>
      <c r="D26" s="213" t="str">
        <f>IF(C26="-","-",INDEX('0. Control Panel'!$B$6:$K$16,MATCH('3. Product Benefit Input'!$C26,'0. Control Panel'!$B$6:$B$16,0),MATCH(D$6,'0. Control Panel'!$B$6:$K$6,0)))</f>
        <v>Finance</v>
      </c>
      <c r="E26" s="174"/>
      <c r="F26" s="214">
        <f>IFERROR(INDEX('1. FTE Allocations'!$A$5:$I$307,MATCH($A26,'1. FTE Allocations'!$A$5:$A$307,0),MATCH(F$4,'1. FTE Allocations'!$A$5:$I$5,0)),0)</f>
        <v>24.3</v>
      </c>
      <c r="H26" s="288">
        <v>0</v>
      </c>
      <c r="I26" s="289">
        <v>0</v>
      </c>
      <c r="J26" s="290">
        <v>0</v>
      </c>
      <c r="L26" s="215">
        <f>IFERROR(INDEX('1. FTE Allocations'!$A$5:$I$307,MATCH($A26,'1. FTE Allocations'!$A$5:$A$307,0),MATCH(L$4,'1. FTE Allocations'!$A$5:$I$5,0)),0)</f>
        <v>0.8</v>
      </c>
      <c r="M26" s="211"/>
      <c r="N26" s="294">
        <v>0.7</v>
      </c>
      <c r="O26" s="297">
        <v>0.5</v>
      </c>
      <c r="P26" s="298">
        <v>0.2</v>
      </c>
      <c r="R26" s="112">
        <f t="shared" si="7"/>
        <v>0</v>
      </c>
      <c r="T26" s="288">
        <v>0</v>
      </c>
      <c r="U26" s="289">
        <v>0</v>
      </c>
      <c r="V26" s="290">
        <v>0</v>
      </c>
    </row>
    <row r="27" spans="1:22" x14ac:dyDescent="0.25">
      <c r="A27" s="35" t="str">
        <f t="shared" si="5"/>
        <v>Head OfficeP2</v>
      </c>
      <c r="C27" s="174">
        <f>IF(C26="-","-",IF(C26+1&gt;COUNTA('0. Control Panel'!$C$7:$C$16),"-",C26+1))</f>
        <v>8</v>
      </c>
      <c r="D27" s="213" t="str">
        <f>IF(C27="-","-",INDEX('0. Control Panel'!$B$6:$K$16,MATCH('3. Product Benefit Input'!$C27,'0. Control Panel'!$B$6:$B$16,0),MATCH(D$6,'0. Control Panel'!$B$6:$K$6,0)))</f>
        <v>Head Office</v>
      </c>
      <c r="E27" s="174"/>
      <c r="F27" s="214">
        <f>IFERROR(INDEX('1. FTE Allocations'!$A$5:$I$307,MATCH($A27,'1. FTE Allocations'!$A$5:$A$307,0),MATCH(F$4,'1. FTE Allocations'!$A$5:$I$5,0)),0)</f>
        <v>16.2</v>
      </c>
      <c r="H27" s="288">
        <v>0</v>
      </c>
      <c r="I27" s="289">
        <v>0</v>
      </c>
      <c r="J27" s="290">
        <v>0</v>
      </c>
      <c r="L27" s="215">
        <f>IFERROR(INDEX('1. FTE Allocations'!$A$5:$I$307,MATCH($A27,'1. FTE Allocations'!$A$5:$A$307,0),MATCH(L$4,'1. FTE Allocations'!$A$5:$I$5,0)),0)</f>
        <v>1</v>
      </c>
      <c r="M27" s="211"/>
      <c r="N27" s="294">
        <v>0.9</v>
      </c>
      <c r="O27" s="297">
        <v>0.8</v>
      </c>
      <c r="P27" s="298">
        <v>0.6</v>
      </c>
      <c r="R27" s="112">
        <f t="shared" si="7"/>
        <v>0</v>
      </c>
      <c r="T27" s="288">
        <v>0</v>
      </c>
      <c r="U27" s="289">
        <v>0</v>
      </c>
      <c r="V27" s="290">
        <v>0</v>
      </c>
    </row>
    <row r="28" spans="1:22" x14ac:dyDescent="0.25">
      <c r="A28" s="35" t="str">
        <f t="shared" si="5"/>
        <v>-P2</v>
      </c>
      <c r="C28" s="174" t="str">
        <f>IF(C27="-","-",IF(C27+1&gt;COUNTA('0. Control Panel'!$C$7:$C$16),"-",C27+1))</f>
        <v>-</v>
      </c>
      <c r="D28" s="213" t="str">
        <f>IF(C28="-","-",INDEX('0. Control Panel'!$B$6:$K$16,MATCH('3. Product Benefit Input'!$C28,'0. Control Panel'!$B$6:$B$16,0),MATCH(D$6,'0. Control Panel'!$B$6:$K$6,0)))</f>
        <v>-</v>
      </c>
      <c r="E28" s="174"/>
      <c r="F28" s="214">
        <f>IFERROR(INDEX('1. FTE Allocations'!$A$5:$I$307,MATCH($A28,'1. FTE Allocations'!$A$5:$A$307,0),MATCH(F$4,'1. FTE Allocations'!$A$5:$I$5,0)),0)</f>
        <v>0</v>
      </c>
      <c r="H28" s="288">
        <v>0</v>
      </c>
      <c r="I28" s="289">
        <v>0</v>
      </c>
      <c r="J28" s="290">
        <v>0</v>
      </c>
      <c r="L28" s="215">
        <f>IFERROR(INDEX('1. FTE Allocations'!$A$5:$I$307,MATCH($A28,'1. FTE Allocations'!$A$5:$A$307,0),MATCH(L$4,'1. FTE Allocations'!$A$5:$I$5,0)),0)</f>
        <v>0</v>
      </c>
      <c r="M28" s="211"/>
      <c r="N28" s="294">
        <f t="shared" si="6"/>
        <v>0</v>
      </c>
      <c r="O28" s="297">
        <f t="shared" si="4"/>
        <v>0</v>
      </c>
      <c r="P28" s="298">
        <f t="shared" si="4"/>
        <v>0</v>
      </c>
      <c r="R28" s="112">
        <f t="shared" si="7"/>
        <v>0</v>
      </c>
      <c r="T28" s="288">
        <v>0</v>
      </c>
      <c r="U28" s="289">
        <v>0</v>
      </c>
      <c r="V28" s="290">
        <v>0</v>
      </c>
    </row>
    <row r="29" spans="1:22" x14ac:dyDescent="0.25">
      <c r="A29" s="35" t="str">
        <f t="shared" si="5"/>
        <v>-P2</v>
      </c>
      <c r="C29" s="175" t="str">
        <f>IF(C28="-","-",IF(C28+1&gt;COUNTA('0. Control Panel'!$C$7:$C$16),"-",C28+1))</f>
        <v>-</v>
      </c>
      <c r="D29" s="176" t="str">
        <f>IF(C29="-","-",INDEX('0. Control Panel'!$B$6:$K$16,MATCH('3. Product Benefit Input'!$C29,'0. Control Panel'!$B$6:$B$16,0),MATCH(D$6,'0. Control Panel'!$B$6:$K$6,0)))</f>
        <v>-</v>
      </c>
      <c r="E29" s="175"/>
      <c r="F29" s="216">
        <f>IFERROR(INDEX('1. FTE Allocations'!$A$5:$I$307,MATCH($A29,'1. FTE Allocations'!$A$5:$A$307,0),MATCH(F$4,'1. FTE Allocations'!$A$5:$I$5,0)),0)</f>
        <v>0</v>
      </c>
      <c r="H29" s="291">
        <v>0</v>
      </c>
      <c r="I29" s="292">
        <v>0</v>
      </c>
      <c r="J29" s="293">
        <v>0</v>
      </c>
      <c r="L29" s="217">
        <f>IFERROR(INDEX('1. FTE Allocations'!$A$5:$I$307,MATCH($A29,'1. FTE Allocations'!$A$5:$A$307,0),MATCH(L$4,'1. FTE Allocations'!$A$5:$I$5,0)),0)</f>
        <v>0</v>
      </c>
      <c r="M29" s="211"/>
      <c r="N29" s="299">
        <f t="shared" si="6"/>
        <v>0</v>
      </c>
      <c r="O29" s="300">
        <f t="shared" si="4"/>
        <v>0</v>
      </c>
      <c r="P29" s="301">
        <f t="shared" si="4"/>
        <v>0</v>
      </c>
      <c r="R29" s="112">
        <f t="shared" si="7"/>
        <v>0</v>
      </c>
      <c r="T29" s="291">
        <v>0</v>
      </c>
      <c r="U29" s="292">
        <v>0</v>
      </c>
      <c r="V29" s="293">
        <v>0</v>
      </c>
    </row>
    <row r="30" spans="1:22" x14ac:dyDescent="0.25">
      <c r="D30" s="314" t="s">
        <v>72</v>
      </c>
      <c r="F30" s="315">
        <f>SUM(F20:F29)</f>
        <v>60.075000000000003</v>
      </c>
      <c r="G30" s="35"/>
      <c r="R30" s="316">
        <f>SUM(R20:R29)</f>
        <v>0</v>
      </c>
    </row>
    <row r="31" spans="1:22" ht="9.9499999999999993" customHeight="1" x14ac:dyDescent="0.25">
      <c r="F31" s="313"/>
      <c r="G31" s="35"/>
      <c r="R31" s="164"/>
    </row>
    <row r="32" spans="1:22" ht="15.95" customHeight="1" x14ac:dyDescent="0.25">
      <c r="C32" s="187" t="s">
        <v>24</v>
      </c>
      <c r="D32" s="203" t="str">
        <f>IF(INDEX('0. Control Panel'!$B$31:$C$41,MATCH('3. Product Benefit Input'!$C32,'0. Control Panel'!$B$31:$B$41,0),2)="","n/a",INDEX('0. Control Panel'!$B$31:$C$41,MATCH('3. Product Benefit Input'!$C32,'0. Control Panel'!$B$31:$B$41,0),2))</f>
        <v>Reduced Integration Costs</v>
      </c>
      <c r="F32" s="218"/>
      <c r="G32" s="35"/>
      <c r="H32" s="35"/>
      <c r="I32" s="35"/>
      <c r="J32" s="35"/>
      <c r="K32" s="35"/>
      <c r="L32" s="35"/>
      <c r="M32" s="35"/>
      <c r="N32" s="35"/>
      <c r="O32" s="35"/>
      <c r="P32" s="35"/>
      <c r="Q32" s="35"/>
      <c r="R32" s="35"/>
      <c r="S32" s="35"/>
      <c r="T32" s="35"/>
      <c r="U32" s="35"/>
      <c r="V32" s="35"/>
    </row>
    <row r="33" spans="1:22" x14ac:dyDescent="0.25">
      <c r="A33" s="35" t="str">
        <f>D33&amp;$C$32</f>
        <v>ITP3</v>
      </c>
      <c r="C33" s="174">
        <f>IF(C30="-","-",IF(C30+1&gt;COUNTA('0. Control Panel'!$C$7:$C$16),"-",C30+1))</f>
        <v>1</v>
      </c>
      <c r="D33" s="171" t="str">
        <f>IF(C33="-","-",INDEX('0. Control Panel'!$B$6:$K$16,MATCH('3. Product Benefit Input'!$C33,'0. Control Panel'!$B$6:$B$16,0),MATCH(D$6,'0. Control Panel'!$B$6:$K$6,0)))</f>
        <v>IT</v>
      </c>
      <c r="E33" s="170"/>
      <c r="F33" s="209">
        <f>IFERROR(INDEX('1. FTE Allocations'!$A$5:$I$307,MATCH($A33,'1. FTE Allocations'!$A$5:$A$307,0),MATCH(F$4,'1. FTE Allocations'!$A$5:$I$5,0)),0)</f>
        <v>0</v>
      </c>
      <c r="H33" s="285">
        <v>0</v>
      </c>
      <c r="I33" s="286">
        <v>0</v>
      </c>
      <c r="J33" s="287">
        <v>0</v>
      </c>
      <c r="L33" s="210">
        <f>IFERROR(INDEX('1. FTE Allocations'!$A$5:$I$307,MATCH($A33,'1. FTE Allocations'!$A$5:$A$307,0),MATCH(L$4,'1. FTE Allocations'!$A$5:$I$5,0)),0)</f>
        <v>0</v>
      </c>
      <c r="M33" s="211"/>
      <c r="N33" s="302">
        <f>$L33</f>
        <v>0</v>
      </c>
      <c r="O33" s="295">
        <f t="shared" ref="O33:P42" si="8">$L33</f>
        <v>0</v>
      </c>
      <c r="P33" s="296">
        <f t="shared" si="8"/>
        <v>0</v>
      </c>
      <c r="R33" s="112">
        <f>AVERAGE(T33:V33)</f>
        <v>0</v>
      </c>
      <c r="T33" s="285">
        <v>0</v>
      </c>
      <c r="U33" s="286">
        <v>0</v>
      </c>
      <c r="V33" s="287">
        <v>0</v>
      </c>
    </row>
    <row r="34" spans="1:22" x14ac:dyDescent="0.25">
      <c r="A34" s="35" t="str">
        <f t="shared" ref="A34:A42" si="9">D34&amp;$C$32</f>
        <v>SalesP3</v>
      </c>
      <c r="C34" s="174">
        <f>IF(C33="-","-",IF(C33+1&gt;COUNTA('0. Control Panel'!$C$7:$C$16),"-",C33+1))</f>
        <v>2</v>
      </c>
      <c r="D34" s="213" t="str">
        <f>IF(C34="-","-",INDEX('0. Control Panel'!$B$6:$K$16,MATCH('3. Product Benefit Input'!$C34,'0. Control Panel'!$B$6:$B$16,0),MATCH(D$6,'0. Control Panel'!$B$6:$K$6,0)))</f>
        <v>Sales</v>
      </c>
      <c r="E34" s="174"/>
      <c r="F34" s="214">
        <f>IFERROR(INDEX('1. FTE Allocations'!$A$5:$I$307,MATCH($A34,'1. FTE Allocations'!$A$5:$A$307,0),MATCH(F$4,'1. FTE Allocations'!$A$5:$I$5,0)),0)</f>
        <v>0</v>
      </c>
      <c r="H34" s="288">
        <v>0</v>
      </c>
      <c r="I34" s="289">
        <v>0</v>
      </c>
      <c r="J34" s="290">
        <v>0</v>
      </c>
      <c r="L34" s="215">
        <f>IFERROR(INDEX('1. FTE Allocations'!$A$5:$I$307,MATCH($A34,'1. FTE Allocations'!$A$5:$A$307,0),MATCH(L$4,'1. FTE Allocations'!$A$5:$I$5,0)),0)</f>
        <v>0</v>
      </c>
      <c r="M34" s="211"/>
      <c r="N34" s="294">
        <f t="shared" ref="N34:N42" si="10">$L34</f>
        <v>0</v>
      </c>
      <c r="O34" s="297">
        <f t="shared" si="8"/>
        <v>0</v>
      </c>
      <c r="P34" s="298">
        <f t="shared" si="8"/>
        <v>0</v>
      </c>
      <c r="R34" s="112">
        <f t="shared" ref="R34:R42" si="11">AVERAGE(T34:V34)</f>
        <v>0</v>
      </c>
      <c r="T34" s="288">
        <v>0</v>
      </c>
      <c r="U34" s="289">
        <v>0</v>
      </c>
      <c r="V34" s="290">
        <v>0</v>
      </c>
    </row>
    <row r="35" spans="1:22" x14ac:dyDescent="0.25">
      <c r="A35" s="35" t="str">
        <f t="shared" si="9"/>
        <v>Product AP3</v>
      </c>
      <c r="C35" s="174">
        <f>IF(C34="-","-",IF(C34+1&gt;COUNTA('0. Control Panel'!$C$7:$C$16),"-",C34+1))</f>
        <v>3</v>
      </c>
      <c r="D35" s="213" t="str">
        <f>IF(C35="-","-",INDEX('0. Control Panel'!$B$6:$K$16,MATCH('3. Product Benefit Input'!$C35,'0. Control Panel'!$B$6:$B$16,0),MATCH(D$6,'0. Control Panel'!$B$6:$K$6,0)))</f>
        <v>Product A</v>
      </c>
      <c r="E35" s="174"/>
      <c r="F35" s="214">
        <f>IFERROR(INDEX('1. FTE Allocations'!$A$5:$I$307,MATCH($A35,'1. FTE Allocations'!$A$5:$A$307,0),MATCH(F$4,'1. FTE Allocations'!$A$5:$I$5,0)),0)</f>
        <v>0</v>
      </c>
      <c r="H35" s="288">
        <v>0</v>
      </c>
      <c r="I35" s="289">
        <v>0</v>
      </c>
      <c r="J35" s="290">
        <v>0</v>
      </c>
      <c r="L35" s="215">
        <f>IFERROR(INDEX('1. FTE Allocations'!$A$5:$I$307,MATCH($A35,'1. FTE Allocations'!$A$5:$A$307,0),MATCH(L$4,'1. FTE Allocations'!$A$5:$I$5,0)),0)</f>
        <v>0</v>
      </c>
      <c r="M35" s="211"/>
      <c r="N35" s="294">
        <f t="shared" si="10"/>
        <v>0</v>
      </c>
      <c r="O35" s="297">
        <f t="shared" si="8"/>
        <v>0</v>
      </c>
      <c r="P35" s="298">
        <f t="shared" si="8"/>
        <v>0</v>
      </c>
      <c r="R35" s="112">
        <f t="shared" si="11"/>
        <v>0</v>
      </c>
      <c r="T35" s="288">
        <v>0</v>
      </c>
      <c r="U35" s="289">
        <v>0</v>
      </c>
      <c r="V35" s="290">
        <v>0</v>
      </c>
    </row>
    <row r="36" spans="1:22" x14ac:dyDescent="0.25">
      <c r="A36" s="35" t="str">
        <f t="shared" si="9"/>
        <v>Product BP3</v>
      </c>
      <c r="C36" s="174">
        <f>IF(C35="-","-",IF(C35+1&gt;COUNTA('0. Control Panel'!$C$7:$C$16),"-",C35+1))</f>
        <v>4</v>
      </c>
      <c r="D36" s="213" t="str">
        <f>IF(C36="-","-",INDEX('0. Control Panel'!$B$6:$K$16,MATCH('3. Product Benefit Input'!$C36,'0. Control Panel'!$B$6:$B$16,0),MATCH(D$6,'0. Control Panel'!$B$6:$K$6,0)))</f>
        <v>Product B</v>
      </c>
      <c r="E36" s="174"/>
      <c r="F36" s="214">
        <f>IFERROR(INDEX('1. FTE Allocations'!$A$5:$I$307,MATCH($A36,'1. FTE Allocations'!$A$5:$A$307,0),MATCH(F$4,'1. FTE Allocations'!$A$5:$I$5,0)),0)</f>
        <v>0</v>
      </c>
      <c r="H36" s="288">
        <v>0</v>
      </c>
      <c r="I36" s="289">
        <v>0</v>
      </c>
      <c r="J36" s="290">
        <v>0</v>
      </c>
      <c r="L36" s="215">
        <f>IFERROR(INDEX('1. FTE Allocations'!$A$5:$I$307,MATCH($A36,'1. FTE Allocations'!$A$5:$A$307,0),MATCH(L$4,'1. FTE Allocations'!$A$5:$I$5,0)),0)</f>
        <v>0</v>
      </c>
      <c r="M36" s="211"/>
      <c r="N36" s="294">
        <f t="shared" si="10"/>
        <v>0</v>
      </c>
      <c r="O36" s="297">
        <f t="shared" si="8"/>
        <v>0</v>
      </c>
      <c r="P36" s="298">
        <f t="shared" si="8"/>
        <v>0</v>
      </c>
      <c r="R36" s="112">
        <f t="shared" si="11"/>
        <v>0</v>
      </c>
      <c r="T36" s="288">
        <v>0</v>
      </c>
      <c r="U36" s="289">
        <v>0</v>
      </c>
      <c r="V36" s="290">
        <v>0</v>
      </c>
    </row>
    <row r="37" spans="1:22" x14ac:dyDescent="0.25">
      <c r="A37" s="35" t="str">
        <f t="shared" si="9"/>
        <v>R&amp;DP3</v>
      </c>
      <c r="C37" s="174">
        <f>IF(C36="-","-",IF(C36+1&gt;COUNTA('0. Control Panel'!$C$7:$C$16),"-",C36+1))</f>
        <v>5</v>
      </c>
      <c r="D37" s="213" t="str">
        <f>IF(C37="-","-",INDEX('0. Control Panel'!$B$6:$K$16,MATCH('3. Product Benefit Input'!$C37,'0. Control Panel'!$B$6:$B$16,0),MATCH(D$6,'0. Control Panel'!$B$6:$K$6,0)))</f>
        <v>R&amp;D</v>
      </c>
      <c r="E37" s="174"/>
      <c r="F37" s="214">
        <f>IFERROR(INDEX('1. FTE Allocations'!$A$5:$I$307,MATCH($A37,'1. FTE Allocations'!$A$5:$A$307,0),MATCH(F$4,'1. FTE Allocations'!$A$5:$I$5,0)),0)</f>
        <v>4.05</v>
      </c>
      <c r="H37" s="288">
        <v>0</v>
      </c>
      <c r="I37" s="289">
        <v>0</v>
      </c>
      <c r="J37" s="290">
        <v>0</v>
      </c>
      <c r="L37" s="215">
        <f>IFERROR(INDEX('1. FTE Allocations'!$A$5:$I$307,MATCH($A37,'1. FTE Allocations'!$A$5:$A$307,0),MATCH(L$4,'1. FTE Allocations'!$A$5:$I$5,0)),0)</f>
        <v>0.5</v>
      </c>
      <c r="M37" s="211"/>
      <c r="N37" s="294">
        <f t="shared" si="10"/>
        <v>0.5</v>
      </c>
      <c r="O37" s="297">
        <v>0.5</v>
      </c>
      <c r="P37" s="298">
        <v>0.5</v>
      </c>
      <c r="R37" s="112">
        <f t="shared" si="11"/>
        <v>0</v>
      </c>
      <c r="T37" s="288">
        <v>0</v>
      </c>
      <c r="U37" s="289">
        <v>0</v>
      </c>
      <c r="V37" s="290">
        <v>0</v>
      </c>
    </row>
    <row r="38" spans="1:22" x14ac:dyDescent="0.25">
      <c r="A38" s="35" t="str">
        <f t="shared" si="9"/>
        <v>HRP3</v>
      </c>
      <c r="C38" s="174">
        <f>IF(C37="-","-",IF(C37+1&gt;COUNTA('0. Control Panel'!$C$7:$C$16),"-",C37+1))</f>
        <v>6</v>
      </c>
      <c r="D38" s="213" t="str">
        <f>IF(C38="-","-",INDEX('0. Control Panel'!$B$6:$K$16,MATCH('3. Product Benefit Input'!$C38,'0. Control Panel'!$B$6:$B$16,0),MATCH(D$6,'0. Control Panel'!$B$6:$K$6,0)))</f>
        <v>HR</v>
      </c>
      <c r="E38" s="174"/>
      <c r="F38" s="214">
        <f>IFERROR(INDEX('1. FTE Allocations'!$A$5:$I$307,MATCH($A38,'1. FTE Allocations'!$A$5:$A$307,0),MATCH(F$4,'1. FTE Allocations'!$A$5:$I$5,0)),0)</f>
        <v>9.4500000000000011</v>
      </c>
      <c r="H38" s="288">
        <v>0</v>
      </c>
      <c r="I38" s="289">
        <v>0</v>
      </c>
      <c r="J38" s="290">
        <v>0</v>
      </c>
      <c r="L38" s="215">
        <f>IFERROR(INDEX('1. FTE Allocations'!$A$5:$I$307,MATCH($A38,'1. FTE Allocations'!$A$5:$A$307,0),MATCH(L$4,'1. FTE Allocations'!$A$5:$I$5,0)),0)</f>
        <v>0.5</v>
      </c>
      <c r="M38" s="211"/>
      <c r="N38" s="294">
        <f t="shared" si="10"/>
        <v>0.5</v>
      </c>
      <c r="O38" s="297">
        <v>0.4</v>
      </c>
      <c r="P38" s="298">
        <v>0.3</v>
      </c>
      <c r="R38" s="112">
        <f t="shared" si="11"/>
        <v>0</v>
      </c>
      <c r="T38" s="288">
        <v>0</v>
      </c>
      <c r="U38" s="289">
        <v>0</v>
      </c>
      <c r="V38" s="290">
        <v>0</v>
      </c>
    </row>
    <row r="39" spans="1:22" x14ac:dyDescent="0.25">
      <c r="A39" s="35" t="str">
        <f t="shared" si="9"/>
        <v>FinanceP3</v>
      </c>
      <c r="C39" s="174">
        <f>IF(C38="-","-",IF(C38+1&gt;COUNTA('0. Control Panel'!$C$7:$C$16),"-",C38+1))</f>
        <v>7</v>
      </c>
      <c r="D39" s="213" t="str">
        <f>IF(C39="-","-",INDEX('0. Control Panel'!$B$6:$K$16,MATCH('3. Product Benefit Input'!$C39,'0. Control Panel'!$B$6:$B$16,0),MATCH(D$6,'0. Control Panel'!$B$6:$K$6,0)))</f>
        <v>Finance</v>
      </c>
      <c r="E39" s="174"/>
      <c r="F39" s="214">
        <f>IFERROR(INDEX('1. FTE Allocations'!$A$5:$I$307,MATCH($A39,'1. FTE Allocations'!$A$5:$A$307,0),MATCH(F$4,'1. FTE Allocations'!$A$5:$I$5,0)),0)</f>
        <v>0</v>
      </c>
      <c r="H39" s="288">
        <v>0</v>
      </c>
      <c r="I39" s="289">
        <v>0</v>
      </c>
      <c r="J39" s="290">
        <v>0</v>
      </c>
      <c r="L39" s="215">
        <f>IFERROR(INDEX('1. FTE Allocations'!$A$5:$I$307,MATCH($A39,'1. FTE Allocations'!$A$5:$A$307,0),MATCH(L$4,'1. FTE Allocations'!$A$5:$I$5,0)),0)</f>
        <v>0</v>
      </c>
      <c r="M39" s="211"/>
      <c r="N39" s="294">
        <f t="shared" si="10"/>
        <v>0</v>
      </c>
      <c r="O39" s="297">
        <f t="shared" si="8"/>
        <v>0</v>
      </c>
      <c r="P39" s="298">
        <f t="shared" si="8"/>
        <v>0</v>
      </c>
      <c r="R39" s="112">
        <f t="shared" si="11"/>
        <v>0</v>
      </c>
      <c r="T39" s="288">
        <v>0</v>
      </c>
      <c r="U39" s="289">
        <v>0</v>
      </c>
      <c r="V39" s="290">
        <v>0</v>
      </c>
    </row>
    <row r="40" spans="1:22" x14ac:dyDescent="0.25">
      <c r="A40" s="35" t="str">
        <f t="shared" si="9"/>
        <v>Head OfficeP3</v>
      </c>
      <c r="C40" s="174">
        <f>IF(C39="-","-",IF(C39+1&gt;COUNTA('0. Control Panel'!$C$7:$C$16),"-",C39+1))</f>
        <v>8</v>
      </c>
      <c r="D40" s="213" t="str">
        <f>IF(C40="-","-",INDEX('0. Control Panel'!$B$6:$K$16,MATCH('3. Product Benefit Input'!$C40,'0. Control Panel'!$B$6:$B$16,0),MATCH(D$6,'0. Control Panel'!$B$6:$K$6,0)))</f>
        <v>Head Office</v>
      </c>
      <c r="E40" s="174"/>
      <c r="F40" s="214">
        <f>IFERROR(INDEX('1. FTE Allocations'!$A$5:$I$307,MATCH($A40,'1. FTE Allocations'!$A$5:$A$307,0),MATCH(F$4,'1. FTE Allocations'!$A$5:$I$5,0)),0)</f>
        <v>0</v>
      </c>
      <c r="H40" s="288">
        <v>0</v>
      </c>
      <c r="I40" s="289">
        <v>0</v>
      </c>
      <c r="J40" s="290">
        <v>0</v>
      </c>
      <c r="L40" s="215">
        <f>IFERROR(INDEX('1. FTE Allocations'!$A$5:$I$307,MATCH($A40,'1. FTE Allocations'!$A$5:$A$307,0),MATCH(L$4,'1. FTE Allocations'!$A$5:$I$5,0)),0)</f>
        <v>0</v>
      </c>
      <c r="M40" s="211"/>
      <c r="N40" s="294">
        <f t="shared" si="10"/>
        <v>0</v>
      </c>
      <c r="O40" s="297">
        <f t="shared" si="8"/>
        <v>0</v>
      </c>
      <c r="P40" s="298">
        <f t="shared" si="8"/>
        <v>0</v>
      </c>
      <c r="R40" s="112">
        <f t="shared" si="11"/>
        <v>0</v>
      </c>
      <c r="T40" s="288">
        <v>0</v>
      </c>
      <c r="U40" s="289">
        <v>0</v>
      </c>
      <c r="V40" s="290">
        <v>0</v>
      </c>
    </row>
    <row r="41" spans="1:22" x14ac:dyDescent="0.25">
      <c r="A41" s="35" t="str">
        <f t="shared" si="9"/>
        <v>-P3</v>
      </c>
      <c r="C41" s="174" t="str">
        <f>IF(C40="-","-",IF(C40+1&gt;COUNTA('0. Control Panel'!$C$7:$C$16),"-",C40+1))</f>
        <v>-</v>
      </c>
      <c r="D41" s="213" t="str">
        <f>IF(C41="-","-",INDEX('0. Control Panel'!$B$6:$K$16,MATCH('3. Product Benefit Input'!$C41,'0. Control Panel'!$B$6:$B$16,0),MATCH(D$6,'0. Control Panel'!$B$6:$K$6,0)))</f>
        <v>-</v>
      </c>
      <c r="E41" s="174"/>
      <c r="F41" s="214">
        <f>IFERROR(INDEX('1. FTE Allocations'!$A$5:$I$307,MATCH($A41,'1. FTE Allocations'!$A$5:$A$307,0),MATCH(F$4,'1. FTE Allocations'!$A$5:$I$5,0)),0)</f>
        <v>0</v>
      </c>
      <c r="H41" s="288">
        <v>0</v>
      </c>
      <c r="I41" s="289">
        <v>0</v>
      </c>
      <c r="J41" s="290">
        <v>0</v>
      </c>
      <c r="L41" s="215">
        <f>IFERROR(INDEX('1. FTE Allocations'!$A$5:$I$307,MATCH($A41,'1. FTE Allocations'!$A$5:$A$307,0),MATCH(L$4,'1. FTE Allocations'!$A$5:$I$5,0)),0)</f>
        <v>0</v>
      </c>
      <c r="M41" s="211"/>
      <c r="N41" s="294">
        <f t="shared" si="10"/>
        <v>0</v>
      </c>
      <c r="O41" s="297">
        <f t="shared" si="8"/>
        <v>0</v>
      </c>
      <c r="P41" s="298">
        <f t="shared" si="8"/>
        <v>0</v>
      </c>
      <c r="R41" s="112">
        <f t="shared" si="11"/>
        <v>0</v>
      </c>
      <c r="T41" s="288">
        <v>0</v>
      </c>
      <c r="U41" s="289">
        <v>0</v>
      </c>
      <c r="V41" s="290">
        <v>0</v>
      </c>
    </row>
    <row r="42" spans="1:22" x14ac:dyDescent="0.25">
      <c r="A42" s="35" t="str">
        <f t="shared" si="9"/>
        <v>-P3</v>
      </c>
      <c r="C42" s="175" t="str">
        <f>IF(C41="-","-",IF(C41+1&gt;COUNTA('0. Control Panel'!$C$7:$C$16),"-",C41+1))</f>
        <v>-</v>
      </c>
      <c r="D42" s="176" t="str">
        <f>IF(C42="-","-",INDEX('0. Control Panel'!$B$6:$K$16,MATCH('3. Product Benefit Input'!$C42,'0. Control Panel'!$B$6:$B$16,0),MATCH(D$6,'0. Control Panel'!$B$6:$K$6,0)))</f>
        <v>-</v>
      </c>
      <c r="E42" s="175"/>
      <c r="F42" s="216">
        <f>IFERROR(INDEX('1. FTE Allocations'!$A$5:$I$307,MATCH($A42,'1. FTE Allocations'!$A$5:$A$307,0),MATCH(F$4,'1. FTE Allocations'!$A$5:$I$5,0)),0)</f>
        <v>0</v>
      </c>
      <c r="H42" s="291">
        <v>0</v>
      </c>
      <c r="I42" s="292">
        <v>0</v>
      </c>
      <c r="J42" s="293">
        <v>0</v>
      </c>
      <c r="L42" s="217">
        <f>IFERROR(INDEX('1. FTE Allocations'!$A$5:$I$307,MATCH($A42,'1. FTE Allocations'!$A$5:$A$307,0),MATCH(L$4,'1. FTE Allocations'!$A$5:$I$5,0)),0)</f>
        <v>0</v>
      </c>
      <c r="M42" s="211"/>
      <c r="N42" s="299">
        <f t="shared" si="10"/>
        <v>0</v>
      </c>
      <c r="O42" s="300">
        <f t="shared" si="8"/>
        <v>0</v>
      </c>
      <c r="P42" s="301">
        <f t="shared" si="8"/>
        <v>0</v>
      </c>
      <c r="R42" s="112">
        <f t="shared" si="11"/>
        <v>0</v>
      </c>
      <c r="T42" s="291">
        <v>0</v>
      </c>
      <c r="U42" s="292">
        <v>0</v>
      </c>
      <c r="V42" s="293">
        <v>0</v>
      </c>
    </row>
    <row r="43" spans="1:22" x14ac:dyDescent="0.25">
      <c r="D43" s="314" t="s">
        <v>72</v>
      </c>
      <c r="F43" s="315">
        <f>SUM(F33:F42)</f>
        <v>13.5</v>
      </c>
      <c r="G43" s="35"/>
      <c r="R43" s="316">
        <f>SUM(R33:R42)</f>
        <v>0</v>
      </c>
    </row>
    <row r="44" spans="1:22" ht="9.9499999999999993" customHeight="1" x14ac:dyDescent="0.25">
      <c r="F44" s="313"/>
      <c r="G44" s="35"/>
      <c r="R44" s="164"/>
    </row>
    <row r="45" spans="1:22" ht="15.95" customHeight="1" x14ac:dyDescent="0.25">
      <c r="C45" s="187" t="s">
        <v>25</v>
      </c>
      <c r="D45" s="203" t="str">
        <f>IF(INDEX('0. Control Panel'!$B$31:$C$41,MATCH('3. Product Benefit Input'!$C45,'0. Control Panel'!$B$31:$B$41,0),2)="","n/a",INDEX('0. Control Panel'!$B$31:$C$41,MATCH('3. Product Benefit Input'!$C45,'0. Control Panel'!$B$31:$B$41,0),2))</f>
        <v>Reduced Marketing Costs</v>
      </c>
      <c r="F45" s="218"/>
      <c r="G45" s="35"/>
      <c r="H45" s="35"/>
      <c r="I45" s="35"/>
      <c r="J45" s="35"/>
      <c r="K45" s="35"/>
      <c r="L45" s="35"/>
      <c r="M45" s="35"/>
      <c r="N45" s="35"/>
      <c r="O45" s="35"/>
      <c r="P45" s="35"/>
      <c r="Q45" s="35"/>
      <c r="R45" s="35"/>
      <c r="S45" s="35"/>
      <c r="T45" s="35"/>
      <c r="U45" s="35"/>
      <c r="V45" s="35"/>
    </row>
    <row r="46" spans="1:22" x14ac:dyDescent="0.25">
      <c r="A46" s="35" t="str">
        <f>D46&amp;$C$45</f>
        <v>ITP4</v>
      </c>
      <c r="C46" s="174">
        <f>IF(C43="-","-",IF(C43+1&gt;COUNTA('0. Control Panel'!$C$7:$C$16),"-",C43+1))</f>
        <v>1</v>
      </c>
      <c r="D46" s="171" t="str">
        <f>IF(C46="-","-",INDEX('0. Control Panel'!$B$6:$K$16,MATCH('3. Product Benefit Input'!$C46,'0. Control Panel'!$B$6:$B$16,0),MATCH(D$6,'0. Control Panel'!$B$6:$K$6,0)))</f>
        <v>IT</v>
      </c>
      <c r="E46" s="170"/>
      <c r="F46" s="209">
        <f>IFERROR(INDEX('1. FTE Allocations'!$A$5:$I$307,MATCH($A46,'1. FTE Allocations'!$A$5:$A$307,0),MATCH(F$4,'1. FTE Allocations'!$A$5:$I$5,0)),0)</f>
        <v>0</v>
      </c>
      <c r="H46" s="285">
        <v>0</v>
      </c>
      <c r="I46" s="286">
        <v>0</v>
      </c>
      <c r="J46" s="287">
        <v>0</v>
      </c>
      <c r="L46" s="210">
        <f>IFERROR(INDEX('1. FTE Allocations'!$A$5:$I$307,MATCH($A46,'1. FTE Allocations'!$A$5:$A$307,0),MATCH(L$4,'1. FTE Allocations'!$A$5:$I$5,0)),0)</f>
        <v>0</v>
      </c>
      <c r="M46" s="211"/>
      <c r="N46" s="302">
        <f>$L46</f>
        <v>0</v>
      </c>
      <c r="O46" s="295">
        <f t="shared" ref="O46:P55" si="12">$L46</f>
        <v>0</v>
      </c>
      <c r="P46" s="296">
        <f t="shared" si="12"/>
        <v>0</v>
      </c>
      <c r="R46" s="112">
        <f>AVERAGE(T46:V46)</f>
        <v>0</v>
      </c>
      <c r="T46" s="285">
        <v>0</v>
      </c>
      <c r="U46" s="286">
        <v>0</v>
      </c>
      <c r="V46" s="287">
        <v>0</v>
      </c>
    </row>
    <row r="47" spans="1:22" x14ac:dyDescent="0.25">
      <c r="A47" s="35" t="str">
        <f t="shared" ref="A47:A55" si="13">D47&amp;$C$45</f>
        <v>SalesP4</v>
      </c>
      <c r="C47" s="174">
        <f>IF(C46="-","-",IF(C46+1&gt;COUNTA('0. Control Panel'!$C$7:$C$16),"-",C46+1))</f>
        <v>2</v>
      </c>
      <c r="D47" s="213" t="str">
        <f>IF(C47="-","-",INDEX('0. Control Panel'!$B$6:$K$16,MATCH('3. Product Benefit Input'!$C47,'0. Control Panel'!$B$6:$B$16,0),MATCH(D$6,'0. Control Panel'!$B$6:$K$6,0)))</f>
        <v>Sales</v>
      </c>
      <c r="E47" s="174"/>
      <c r="F47" s="214">
        <f>IFERROR(INDEX('1. FTE Allocations'!$A$5:$I$307,MATCH($A47,'1. FTE Allocations'!$A$5:$A$307,0),MATCH(F$4,'1. FTE Allocations'!$A$5:$I$5,0)),0)</f>
        <v>41.85</v>
      </c>
      <c r="H47" s="288">
        <v>-1</v>
      </c>
      <c r="I47" s="289">
        <v>-2</v>
      </c>
      <c r="J47" s="290">
        <v>-5</v>
      </c>
      <c r="L47" s="215">
        <f>IFERROR(INDEX('1. FTE Allocations'!$A$5:$I$307,MATCH($A47,'1. FTE Allocations'!$A$5:$A$307,0),MATCH(L$4,'1. FTE Allocations'!$A$5:$I$5,0)),0)</f>
        <v>0.5</v>
      </c>
      <c r="M47" s="211"/>
      <c r="N47" s="294">
        <f t="shared" ref="N47:N55" si="14">$L47</f>
        <v>0.5</v>
      </c>
      <c r="O47" s="297">
        <v>0.3</v>
      </c>
      <c r="P47" s="298">
        <v>0.2</v>
      </c>
      <c r="R47" s="112">
        <f t="shared" ref="R47:R55" si="15">AVERAGE(T47:V47)</f>
        <v>0</v>
      </c>
      <c r="T47" s="288">
        <v>0</v>
      </c>
      <c r="U47" s="289">
        <v>0</v>
      </c>
      <c r="V47" s="290">
        <v>0</v>
      </c>
    </row>
    <row r="48" spans="1:22" x14ac:dyDescent="0.25">
      <c r="A48" s="35" t="str">
        <f t="shared" si="13"/>
        <v>Product AP4</v>
      </c>
      <c r="C48" s="174">
        <f>IF(C47="-","-",IF(C47+1&gt;COUNTA('0. Control Panel'!$C$7:$C$16),"-",C47+1))</f>
        <v>3</v>
      </c>
      <c r="D48" s="213" t="str">
        <f>IF(C48="-","-",INDEX('0. Control Panel'!$B$6:$K$16,MATCH('3. Product Benefit Input'!$C48,'0. Control Panel'!$B$6:$B$16,0),MATCH(D$6,'0. Control Panel'!$B$6:$K$6,0)))</f>
        <v>Product A</v>
      </c>
      <c r="E48" s="174"/>
      <c r="F48" s="214">
        <f>IFERROR(INDEX('1. FTE Allocations'!$A$5:$I$307,MATCH($A48,'1. FTE Allocations'!$A$5:$A$307,0),MATCH(F$4,'1. FTE Allocations'!$A$5:$I$5,0)),0)</f>
        <v>0</v>
      </c>
      <c r="H48" s="288">
        <v>0</v>
      </c>
      <c r="I48" s="289">
        <v>0</v>
      </c>
      <c r="J48" s="290">
        <v>0</v>
      </c>
      <c r="L48" s="215">
        <f>IFERROR(INDEX('1. FTE Allocations'!$A$5:$I$307,MATCH($A48,'1. FTE Allocations'!$A$5:$A$307,0),MATCH(L$4,'1. FTE Allocations'!$A$5:$I$5,0)),0)</f>
        <v>0</v>
      </c>
      <c r="M48" s="211"/>
      <c r="N48" s="294">
        <f t="shared" si="14"/>
        <v>0</v>
      </c>
      <c r="O48" s="297">
        <f t="shared" si="12"/>
        <v>0</v>
      </c>
      <c r="P48" s="298">
        <f t="shared" si="12"/>
        <v>0</v>
      </c>
      <c r="R48" s="112">
        <f t="shared" si="15"/>
        <v>0</v>
      </c>
      <c r="T48" s="288">
        <v>0</v>
      </c>
      <c r="U48" s="289">
        <v>0</v>
      </c>
      <c r="V48" s="290">
        <v>0</v>
      </c>
    </row>
    <row r="49" spans="1:22" x14ac:dyDescent="0.25">
      <c r="A49" s="35" t="str">
        <f t="shared" si="13"/>
        <v>Product BP4</v>
      </c>
      <c r="C49" s="174">
        <f>IF(C48="-","-",IF(C48+1&gt;COUNTA('0. Control Panel'!$C$7:$C$16),"-",C48+1))</f>
        <v>4</v>
      </c>
      <c r="D49" s="213" t="str">
        <f>IF(C49="-","-",INDEX('0. Control Panel'!$B$6:$K$16,MATCH('3. Product Benefit Input'!$C49,'0. Control Panel'!$B$6:$B$16,0),MATCH(D$6,'0. Control Panel'!$B$6:$K$6,0)))</f>
        <v>Product B</v>
      </c>
      <c r="E49" s="174"/>
      <c r="F49" s="214">
        <f>IFERROR(INDEX('1. FTE Allocations'!$A$5:$I$307,MATCH($A49,'1. FTE Allocations'!$A$5:$A$307,0),MATCH(F$4,'1. FTE Allocations'!$A$5:$I$5,0)),0)</f>
        <v>0</v>
      </c>
      <c r="H49" s="288">
        <v>0</v>
      </c>
      <c r="I49" s="289">
        <v>0</v>
      </c>
      <c r="J49" s="290">
        <v>0</v>
      </c>
      <c r="L49" s="215">
        <f>IFERROR(INDEX('1. FTE Allocations'!$A$5:$I$307,MATCH($A49,'1. FTE Allocations'!$A$5:$A$307,0),MATCH(L$4,'1. FTE Allocations'!$A$5:$I$5,0)),0)</f>
        <v>0</v>
      </c>
      <c r="M49" s="211"/>
      <c r="N49" s="294">
        <f t="shared" si="14"/>
        <v>0</v>
      </c>
      <c r="O49" s="297">
        <f t="shared" si="12"/>
        <v>0</v>
      </c>
      <c r="P49" s="298">
        <f t="shared" si="12"/>
        <v>0</v>
      </c>
      <c r="R49" s="112">
        <f t="shared" si="15"/>
        <v>0</v>
      </c>
      <c r="T49" s="288">
        <v>0</v>
      </c>
      <c r="U49" s="289">
        <v>0</v>
      </c>
      <c r="V49" s="290">
        <v>0</v>
      </c>
    </row>
    <row r="50" spans="1:22" x14ac:dyDescent="0.25">
      <c r="A50" s="35" t="str">
        <f t="shared" si="13"/>
        <v>R&amp;DP4</v>
      </c>
      <c r="C50" s="174">
        <f>IF(C49="-","-",IF(C49+1&gt;COUNTA('0. Control Panel'!$C$7:$C$16),"-",C49+1))</f>
        <v>5</v>
      </c>
      <c r="D50" s="213" t="str">
        <f>IF(C50="-","-",INDEX('0. Control Panel'!$B$6:$K$16,MATCH('3. Product Benefit Input'!$C50,'0. Control Panel'!$B$6:$B$16,0),MATCH(D$6,'0. Control Panel'!$B$6:$K$6,0)))</f>
        <v>R&amp;D</v>
      </c>
      <c r="E50" s="174"/>
      <c r="F50" s="214">
        <f>IFERROR(INDEX('1. FTE Allocations'!$A$5:$I$307,MATCH($A50,'1. FTE Allocations'!$A$5:$A$307,0),MATCH(F$4,'1. FTE Allocations'!$A$5:$I$5,0)),0)</f>
        <v>0</v>
      </c>
      <c r="H50" s="288">
        <v>0</v>
      </c>
      <c r="I50" s="289">
        <v>0</v>
      </c>
      <c r="J50" s="290">
        <v>0</v>
      </c>
      <c r="L50" s="215">
        <f>IFERROR(INDEX('1. FTE Allocations'!$A$5:$I$307,MATCH($A50,'1. FTE Allocations'!$A$5:$A$307,0),MATCH(L$4,'1. FTE Allocations'!$A$5:$I$5,0)),0)</f>
        <v>0</v>
      </c>
      <c r="M50" s="211"/>
      <c r="N50" s="294">
        <f t="shared" si="14"/>
        <v>0</v>
      </c>
      <c r="O50" s="297">
        <f t="shared" si="12"/>
        <v>0</v>
      </c>
      <c r="P50" s="298">
        <f t="shared" si="12"/>
        <v>0</v>
      </c>
      <c r="R50" s="112">
        <f t="shared" si="15"/>
        <v>0</v>
      </c>
      <c r="T50" s="288">
        <v>0</v>
      </c>
      <c r="U50" s="289">
        <v>0</v>
      </c>
      <c r="V50" s="290">
        <v>0</v>
      </c>
    </row>
    <row r="51" spans="1:22" x14ac:dyDescent="0.25">
      <c r="A51" s="35" t="str">
        <f t="shared" si="13"/>
        <v>HRP4</v>
      </c>
      <c r="C51" s="174">
        <f>IF(C50="-","-",IF(C50+1&gt;COUNTA('0. Control Panel'!$C$7:$C$16),"-",C50+1))</f>
        <v>6</v>
      </c>
      <c r="D51" s="213" t="str">
        <f>IF(C51="-","-",INDEX('0. Control Panel'!$B$6:$K$16,MATCH('3. Product Benefit Input'!$C51,'0. Control Panel'!$B$6:$B$16,0),MATCH(D$6,'0. Control Panel'!$B$6:$K$6,0)))</f>
        <v>HR</v>
      </c>
      <c r="E51" s="174"/>
      <c r="F51" s="214">
        <f>IFERROR(INDEX('1. FTE Allocations'!$A$5:$I$307,MATCH($A51,'1. FTE Allocations'!$A$5:$A$307,0),MATCH(F$4,'1. FTE Allocations'!$A$5:$I$5,0)),0)</f>
        <v>0</v>
      </c>
      <c r="H51" s="288">
        <v>0</v>
      </c>
      <c r="I51" s="289">
        <v>0</v>
      </c>
      <c r="J51" s="290">
        <v>0</v>
      </c>
      <c r="L51" s="215">
        <f>IFERROR(INDEX('1. FTE Allocations'!$A$5:$I$307,MATCH($A51,'1. FTE Allocations'!$A$5:$A$307,0),MATCH(L$4,'1. FTE Allocations'!$A$5:$I$5,0)),0)</f>
        <v>0</v>
      </c>
      <c r="M51" s="211"/>
      <c r="N51" s="294">
        <f t="shared" si="14"/>
        <v>0</v>
      </c>
      <c r="O51" s="297">
        <f t="shared" si="12"/>
        <v>0</v>
      </c>
      <c r="P51" s="298">
        <f t="shared" si="12"/>
        <v>0</v>
      </c>
      <c r="R51" s="112">
        <f t="shared" si="15"/>
        <v>0</v>
      </c>
      <c r="T51" s="288">
        <v>0</v>
      </c>
      <c r="U51" s="289">
        <v>0</v>
      </c>
      <c r="V51" s="290">
        <v>0</v>
      </c>
    </row>
    <row r="52" spans="1:22" x14ac:dyDescent="0.25">
      <c r="A52" s="35" t="str">
        <f t="shared" si="13"/>
        <v>FinanceP4</v>
      </c>
      <c r="C52" s="174">
        <f>IF(C51="-","-",IF(C51+1&gt;COUNTA('0. Control Panel'!$C$7:$C$16),"-",C51+1))</f>
        <v>7</v>
      </c>
      <c r="D52" s="213" t="str">
        <f>IF(C52="-","-",INDEX('0. Control Panel'!$B$6:$K$16,MATCH('3. Product Benefit Input'!$C52,'0. Control Panel'!$B$6:$B$16,0),MATCH(D$6,'0. Control Panel'!$B$6:$K$6,0)))</f>
        <v>Finance</v>
      </c>
      <c r="E52" s="174"/>
      <c r="F52" s="214">
        <f>IFERROR(INDEX('1. FTE Allocations'!$A$5:$I$307,MATCH($A52,'1. FTE Allocations'!$A$5:$A$307,0),MATCH(F$4,'1. FTE Allocations'!$A$5:$I$5,0)),0)</f>
        <v>0</v>
      </c>
      <c r="H52" s="288">
        <v>0</v>
      </c>
      <c r="I52" s="289">
        <v>0</v>
      </c>
      <c r="J52" s="290">
        <v>0</v>
      </c>
      <c r="L52" s="215">
        <f>IFERROR(INDEX('1. FTE Allocations'!$A$5:$I$307,MATCH($A52,'1. FTE Allocations'!$A$5:$A$307,0),MATCH(L$4,'1. FTE Allocations'!$A$5:$I$5,0)),0)</f>
        <v>0</v>
      </c>
      <c r="M52" s="211"/>
      <c r="N52" s="294">
        <f t="shared" si="14"/>
        <v>0</v>
      </c>
      <c r="O52" s="297">
        <f t="shared" si="12"/>
        <v>0</v>
      </c>
      <c r="P52" s="298">
        <f t="shared" si="12"/>
        <v>0</v>
      </c>
      <c r="R52" s="112">
        <f t="shared" si="15"/>
        <v>0</v>
      </c>
      <c r="T52" s="288">
        <v>0</v>
      </c>
      <c r="U52" s="289">
        <v>0</v>
      </c>
      <c r="V52" s="290">
        <v>0</v>
      </c>
    </row>
    <row r="53" spans="1:22" x14ac:dyDescent="0.25">
      <c r="A53" s="35" t="str">
        <f t="shared" si="13"/>
        <v>Head OfficeP4</v>
      </c>
      <c r="C53" s="174">
        <f>IF(C52="-","-",IF(C52+1&gt;COUNTA('0. Control Panel'!$C$7:$C$16),"-",C52+1))</f>
        <v>8</v>
      </c>
      <c r="D53" s="213" t="str">
        <f>IF(C53="-","-",INDEX('0. Control Panel'!$B$6:$K$16,MATCH('3. Product Benefit Input'!$C53,'0. Control Panel'!$B$6:$B$16,0),MATCH(D$6,'0. Control Panel'!$B$6:$K$6,0)))</f>
        <v>Head Office</v>
      </c>
      <c r="E53" s="174"/>
      <c r="F53" s="214">
        <f>IFERROR(INDEX('1. FTE Allocations'!$A$5:$I$307,MATCH($A53,'1. FTE Allocations'!$A$5:$A$307,0),MATCH(F$4,'1. FTE Allocations'!$A$5:$I$5,0)),0)</f>
        <v>0</v>
      </c>
      <c r="H53" s="288">
        <v>0</v>
      </c>
      <c r="I53" s="289">
        <v>0</v>
      </c>
      <c r="J53" s="290">
        <v>0</v>
      </c>
      <c r="L53" s="215">
        <f>IFERROR(INDEX('1. FTE Allocations'!$A$5:$I$307,MATCH($A53,'1. FTE Allocations'!$A$5:$A$307,0),MATCH(L$4,'1. FTE Allocations'!$A$5:$I$5,0)),0)</f>
        <v>0</v>
      </c>
      <c r="M53" s="211"/>
      <c r="N53" s="294">
        <f t="shared" si="14"/>
        <v>0</v>
      </c>
      <c r="O53" s="297">
        <f t="shared" si="12"/>
        <v>0</v>
      </c>
      <c r="P53" s="298">
        <f t="shared" si="12"/>
        <v>0</v>
      </c>
      <c r="R53" s="112">
        <f t="shared" si="15"/>
        <v>0</v>
      </c>
      <c r="T53" s="288">
        <v>0</v>
      </c>
      <c r="U53" s="289">
        <v>0</v>
      </c>
      <c r="V53" s="290">
        <v>0</v>
      </c>
    </row>
    <row r="54" spans="1:22" x14ac:dyDescent="0.25">
      <c r="A54" s="35" t="str">
        <f t="shared" si="13"/>
        <v>-P4</v>
      </c>
      <c r="C54" s="174" t="str">
        <f>IF(C53="-","-",IF(C53+1&gt;COUNTA('0. Control Panel'!$C$7:$C$16),"-",C53+1))</f>
        <v>-</v>
      </c>
      <c r="D54" s="213" t="str">
        <f>IF(C54="-","-",INDEX('0. Control Panel'!$B$6:$K$16,MATCH('3. Product Benefit Input'!$C54,'0. Control Panel'!$B$6:$B$16,0),MATCH(D$6,'0. Control Panel'!$B$6:$K$6,0)))</f>
        <v>-</v>
      </c>
      <c r="E54" s="174"/>
      <c r="F54" s="214">
        <f>IFERROR(INDEX('1. FTE Allocations'!$A$5:$I$307,MATCH($A54,'1. FTE Allocations'!$A$5:$A$307,0),MATCH(F$4,'1. FTE Allocations'!$A$5:$I$5,0)),0)</f>
        <v>0</v>
      </c>
      <c r="H54" s="288">
        <v>0</v>
      </c>
      <c r="I54" s="289">
        <v>0</v>
      </c>
      <c r="J54" s="290">
        <v>0</v>
      </c>
      <c r="L54" s="215">
        <f>IFERROR(INDEX('1. FTE Allocations'!$A$5:$I$307,MATCH($A54,'1. FTE Allocations'!$A$5:$A$307,0),MATCH(L$4,'1. FTE Allocations'!$A$5:$I$5,0)),0)</f>
        <v>0</v>
      </c>
      <c r="M54" s="211"/>
      <c r="N54" s="294">
        <f t="shared" si="14"/>
        <v>0</v>
      </c>
      <c r="O54" s="297">
        <f t="shared" si="12"/>
        <v>0</v>
      </c>
      <c r="P54" s="298">
        <f t="shared" si="12"/>
        <v>0</v>
      </c>
      <c r="R54" s="112">
        <f t="shared" si="15"/>
        <v>0</v>
      </c>
      <c r="T54" s="288">
        <v>0</v>
      </c>
      <c r="U54" s="289">
        <v>0</v>
      </c>
      <c r="V54" s="290">
        <v>0</v>
      </c>
    </row>
    <row r="55" spans="1:22" x14ac:dyDescent="0.25">
      <c r="A55" s="35" t="str">
        <f t="shared" si="13"/>
        <v>-P4</v>
      </c>
      <c r="C55" s="175" t="str">
        <f>IF(C54="-","-",IF(C54+1&gt;COUNTA('0. Control Panel'!$C$7:$C$16),"-",C54+1))</f>
        <v>-</v>
      </c>
      <c r="D55" s="176" t="str">
        <f>IF(C55="-","-",INDEX('0. Control Panel'!$B$6:$K$16,MATCH('3. Product Benefit Input'!$C55,'0. Control Panel'!$B$6:$B$16,0),MATCH(D$6,'0. Control Panel'!$B$6:$K$6,0)))</f>
        <v>-</v>
      </c>
      <c r="E55" s="175"/>
      <c r="F55" s="216">
        <f>IFERROR(INDEX('1. FTE Allocations'!$A$5:$I$307,MATCH($A55,'1. FTE Allocations'!$A$5:$A$307,0),MATCH(F$4,'1. FTE Allocations'!$A$5:$I$5,0)),0)</f>
        <v>0</v>
      </c>
      <c r="H55" s="291">
        <v>0</v>
      </c>
      <c r="I55" s="292">
        <v>0</v>
      </c>
      <c r="J55" s="293">
        <v>0</v>
      </c>
      <c r="L55" s="217">
        <f>IFERROR(INDEX('1. FTE Allocations'!$A$5:$I$307,MATCH($A55,'1. FTE Allocations'!$A$5:$A$307,0),MATCH(L$4,'1. FTE Allocations'!$A$5:$I$5,0)),0)</f>
        <v>0</v>
      </c>
      <c r="M55" s="211"/>
      <c r="N55" s="299">
        <f t="shared" si="14"/>
        <v>0</v>
      </c>
      <c r="O55" s="300">
        <f t="shared" si="12"/>
        <v>0</v>
      </c>
      <c r="P55" s="301">
        <f t="shared" si="12"/>
        <v>0</v>
      </c>
      <c r="R55" s="112">
        <f t="shared" si="15"/>
        <v>0</v>
      </c>
      <c r="T55" s="291">
        <v>0</v>
      </c>
      <c r="U55" s="292">
        <v>0</v>
      </c>
      <c r="V55" s="293">
        <v>0</v>
      </c>
    </row>
    <row r="56" spans="1:22" x14ac:dyDescent="0.25">
      <c r="D56" s="314" t="s">
        <v>72</v>
      </c>
      <c r="F56" s="315">
        <f>SUM(F46:F55)</f>
        <v>41.85</v>
      </c>
      <c r="G56" s="35"/>
      <c r="R56" s="316">
        <f>SUM(R46:R55)</f>
        <v>0</v>
      </c>
    </row>
    <row r="57" spans="1:22" ht="9.9499999999999993" customHeight="1" x14ac:dyDescent="0.25">
      <c r="F57" s="313"/>
      <c r="G57" s="35"/>
      <c r="R57" s="164"/>
    </row>
    <row r="58" spans="1:22" ht="15.95" customHeight="1" x14ac:dyDescent="0.25">
      <c r="C58" s="187" t="s">
        <v>26</v>
      </c>
      <c r="D58" s="203" t="str">
        <f>IF(INDEX('0. Control Panel'!$B$31:$C$41,MATCH('3. Product Benefit Input'!$C58,'0. Control Panel'!$B$31:$B$41,0),2)="","n/a",INDEX('0. Control Panel'!$B$31:$C$41,MATCH('3. Product Benefit Input'!$C58,'0. Control Panel'!$B$31:$B$41,0),2))</f>
        <v>Reduced Time to Take New Product to Market</v>
      </c>
      <c r="F58" s="218"/>
      <c r="G58" s="35"/>
      <c r="H58" s="35"/>
      <c r="I58" s="35"/>
      <c r="J58" s="35"/>
      <c r="K58" s="35"/>
      <c r="L58" s="35"/>
      <c r="M58" s="35"/>
      <c r="N58" s="35"/>
      <c r="O58" s="35"/>
      <c r="P58" s="35"/>
      <c r="Q58" s="35"/>
      <c r="R58" s="35"/>
      <c r="S58" s="35"/>
      <c r="T58" s="35"/>
      <c r="U58" s="35"/>
      <c r="V58" s="35"/>
    </row>
    <row r="59" spans="1:22" x14ac:dyDescent="0.25">
      <c r="A59" s="35" t="str">
        <f>D59&amp;$C$58</f>
        <v>ITP5</v>
      </c>
      <c r="C59" s="174">
        <f>IF(C56="-","-",IF(C56+1&gt;COUNTA('0. Control Panel'!$C$7:$C$16),"-",C56+1))</f>
        <v>1</v>
      </c>
      <c r="D59" s="171" t="str">
        <f>IF(C59="-","-",INDEX('0. Control Panel'!$B$6:$K$16,MATCH('3. Product Benefit Input'!$C59,'0. Control Panel'!$B$6:$B$16,0),MATCH(D$6,'0. Control Panel'!$B$6:$K$6,0)))</f>
        <v>IT</v>
      </c>
      <c r="E59" s="170"/>
      <c r="F59" s="209">
        <f>IFERROR(INDEX('1. FTE Allocations'!$A$5:$I$307,MATCH($A59,'1. FTE Allocations'!$A$5:$A$307,0),MATCH(F$4,'1. FTE Allocations'!$A$5:$I$5,0)),0)</f>
        <v>0</v>
      </c>
      <c r="H59" s="285">
        <v>0</v>
      </c>
      <c r="I59" s="286">
        <v>0</v>
      </c>
      <c r="J59" s="287">
        <v>0</v>
      </c>
      <c r="L59" s="210">
        <f>IFERROR(INDEX('1. FTE Allocations'!$A$5:$I$307,MATCH($A59,'1. FTE Allocations'!$A$5:$A$307,0),MATCH(L$4,'1. FTE Allocations'!$A$5:$I$5,0)),0)</f>
        <v>0</v>
      </c>
      <c r="M59" s="211"/>
      <c r="N59" s="302">
        <f>$L59</f>
        <v>0</v>
      </c>
      <c r="O59" s="295">
        <f t="shared" ref="O59:P68" si="16">$L59</f>
        <v>0</v>
      </c>
      <c r="P59" s="296">
        <f t="shared" si="16"/>
        <v>0</v>
      </c>
      <c r="R59" s="112">
        <f>AVERAGE(T59:V59)</f>
        <v>0</v>
      </c>
      <c r="T59" s="285">
        <v>0</v>
      </c>
      <c r="U59" s="286">
        <v>0</v>
      </c>
      <c r="V59" s="287">
        <v>0</v>
      </c>
    </row>
    <row r="60" spans="1:22" x14ac:dyDescent="0.25">
      <c r="A60" s="35" t="str">
        <f t="shared" ref="A60:A68" si="17">D60&amp;$C$58</f>
        <v>SalesP5</v>
      </c>
      <c r="C60" s="174">
        <f>IF(C59="-","-",IF(C59+1&gt;COUNTA('0. Control Panel'!$C$7:$C$16),"-",C59+1))</f>
        <v>2</v>
      </c>
      <c r="D60" s="213" t="str">
        <f>IF(C60="-","-",INDEX('0. Control Panel'!$B$6:$K$16,MATCH('3. Product Benefit Input'!$C60,'0. Control Panel'!$B$6:$B$16,0),MATCH(D$6,'0. Control Panel'!$B$6:$K$6,0)))</f>
        <v>Sales</v>
      </c>
      <c r="E60" s="174"/>
      <c r="F60" s="214">
        <f>IFERROR(INDEX('1. FTE Allocations'!$A$5:$I$307,MATCH($A60,'1. FTE Allocations'!$A$5:$A$307,0),MATCH(F$4,'1. FTE Allocations'!$A$5:$I$5,0)),0)</f>
        <v>0</v>
      </c>
      <c r="H60" s="288">
        <v>0</v>
      </c>
      <c r="I60" s="289">
        <v>0</v>
      </c>
      <c r="J60" s="290">
        <v>0</v>
      </c>
      <c r="L60" s="215">
        <f>IFERROR(INDEX('1. FTE Allocations'!$A$5:$I$307,MATCH($A60,'1. FTE Allocations'!$A$5:$A$307,0),MATCH(L$4,'1. FTE Allocations'!$A$5:$I$5,0)),0)</f>
        <v>0</v>
      </c>
      <c r="M60" s="211"/>
      <c r="N60" s="294">
        <f t="shared" ref="N60:N68" si="18">$L60</f>
        <v>0</v>
      </c>
      <c r="O60" s="297">
        <f t="shared" si="16"/>
        <v>0</v>
      </c>
      <c r="P60" s="298">
        <f t="shared" si="16"/>
        <v>0</v>
      </c>
      <c r="R60" s="112">
        <f t="shared" ref="R60:R68" si="19">AVERAGE(T60:V60)</f>
        <v>0</v>
      </c>
      <c r="T60" s="288">
        <v>0</v>
      </c>
      <c r="U60" s="289">
        <v>0</v>
      </c>
      <c r="V60" s="290">
        <v>0</v>
      </c>
    </row>
    <row r="61" spans="1:22" x14ac:dyDescent="0.25">
      <c r="A61" s="35" t="str">
        <f t="shared" si="17"/>
        <v>Product AP5</v>
      </c>
      <c r="C61" s="174">
        <f>IF(C60="-","-",IF(C60+1&gt;COUNTA('0. Control Panel'!$C$7:$C$16),"-",C60+1))</f>
        <v>3</v>
      </c>
      <c r="D61" s="213" t="str">
        <f>IF(C61="-","-",INDEX('0. Control Panel'!$B$6:$K$16,MATCH('3. Product Benefit Input'!$C61,'0. Control Panel'!$B$6:$B$16,0),MATCH(D$6,'0. Control Panel'!$B$6:$K$6,0)))</f>
        <v>Product A</v>
      </c>
      <c r="E61" s="174"/>
      <c r="F61" s="214">
        <f>IFERROR(INDEX('1. FTE Allocations'!$A$5:$I$307,MATCH($A61,'1. FTE Allocations'!$A$5:$A$307,0),MATCH(F$4,'1. FTE Allocations'!$A$5:$I$5,0)),0)</f>
        <v>126.22500000000002</v>
      </c>
      <c r="H61" s="288">
        <v>-4</v>
      </c>
      <c r="I61" s="289">
        <v>-8</v>
      </c>
      <c r="J61" s="290">
        <v>-20</v>
      </c>
      <c r="L61" s="215">
        <f>IFERROR(INDEX('1. FTE Allocations'!$A$5:$I$307,MATCH($A61,'1. FTE Allocations'!$A$5:$A$307,0),MATCH(L$4,'1. FTE Allocations'!$A$5:$I$5,0)),0)</f>
        <v>1</v>
      </c>
      <c r="M61" s="211"/>
      <c r="N61" s="294">
        <f t="shared" si="18"/>
        <v>1</v>
      </c>
      <c r="O61" s="297">
        <f t="shared" si="16"/>
        <v>1</v>
      </c>
      <c r="P61" s="298">
        <f t="shared" si="16"/>
        <v>1</v>
      </c>
      <c r="R61" s="112">
        <f t="shared" si="19"/>
        <v>0</v>
      </c>
      <c r="T61" s="288">
        <v>0</v>
      </c>
      <c r="U61" s="289">
        <v>0</v>
      </c>
      <c r="V61" s="290">
        <v>0</v>
      </c>
    </row>
    <row r="62" spans="1:22" x14ac:dyDescent="0.25">
      <c r="A62" s="35" t="str">
        <f t="shared" si="17"/>
        <v>Product BP5</v>
      </c>
      <c r="C62" s="174">
        <f>IF(C61="-","-",IF(C61+1&gt;COUNTA('0. Control Panel'!$C$7:$C$16),"-",C61+1))</f>
        <v>4</v>
      </c>
      <c r="D62" s="213" t="str">
        <f>IF(C62="-","-",INDEX('0. Control Panel'!$B$6:$K$16,MATCH('3. Product Benefit Input'!$C62,'0. Control Panel'!$B$6:$B$16,0),MATCH(D$6,'0. Control Panel'!$B$6:$K$6,0)))</f>
        <v>Product B</v>
      </c>
      <c r="E62" s="174"/>
      <c r="F62" s="214">
        <f>IFERROR(INDEX('1. FTE Allocations'!$A$5:$I$307,MATCH($A62,'1. FTE Allocations'!$A$5:$A$307,0),MATCH(F$4,'1. FTE Allocations'!$A$5:$I$5,0)),0)</f>
        <v>89.1</v>
      </c>
      <c r="H62" s="288">
        <v>-5</v>
      </c>
      <c r="I62" s="289">
        <v>-10</v>
      </c>
      <c r="J62" s="290">
        <v>-31</v>
      </c>
      <c r="L62" s="215">
        <f>IFERROR(INDEX('1. FTE Allocations'!$A$5:$I$307,MATCH($A62,'1. FTE Allocations'!$A$5:$A$307,0),MATCH(L$4,'1. FTE Allocations'!$A$5:$I$5,0)),0)</f>
        <v>1</v>
      </c>
      <c r="M62" s="211"/>
      <c r="N62" s="294">
        <f t="shared" si="18"/>
        <v>1</v>
      </c>
      <c r="O62" s="297">
        <f t="shared" si="16"/>
        <v>1</v>
      </c>
      <c r="P62" s="298">
        <f t="shared" si="16"/>
        <v>1</v>
      </c>
      <c r="R62" s="112">
        <f t="shared" si="19"/>
        <v>0</v>
      </c>
      <c r="T62" s="288">
        <v>0</v>
      </c>
      <c r="U62" s="289">
        <v>0</v>
      </c>
      <c r="V62" s="290">
        <v>0</v>
      </c>
    </row>
    <row r="63" spans="1:22" x14ac:dyDescent="0.25">
      <c r="A63" s="35" t="str">
        <f t="shared" si="17"/>
        <v>R&amp;DP5</v>
      </c>
      <c r="C63" s="174">
        <f>IF(C62="-","-",IF(C62+1&gt;COUNTA('0. Control Panel'!$C$7:$C$16),"-",C62+1))</f>
        <v>5</v>
      </c>
      <c r="D63" s="213" t="str">
        <f>IF(C63="-","-",INDEX('0. Control Panel'!$B$6:$K$16,MATCH('3. Product Benefit Input'!$C63,'0. Control Panel'!$B$6:$B$16,0),MATCH(D$6,'0. Control Panel'!$B$6:$K$6,0)))</f>
        <v>R&amp;D</v>
      </c>
      <c r="E63" s="174"/>
      <c r="F63" s="214">
        <f>IFERROR(INDEX('1. FTE Allocations'!$A$5:$I$307,MATCH($A63,'1. FTE Allocations'!$A$5:$A$307,0),MATCH(F$4,'1. FTE Allocations'!$A$5:$I$5,0)),0)</f>
        <v>12.15</v>
      </c>
      <c r="H63" s="288">
        <v>0</v>
      </c>
      <c r="I63" s="289">
        <v>0</v>
      </c>
      <c r="J63" s="290">
        <v>0</v>
      </c>
      <c r="L63" s="215">
        <f>IFERROR(INDEX('1. FTE Allocations'!$A$5:$I$307,MATCH($A63,'1. FTE Allocations'!$A$5:$A$307,0),MATCH(L$4,'1. FTE Allocations'!$A$5:$I$5,0)),0)</f>
        <v>0.67</v>
      </c>
      <c r="M63" s="211"/>
      <c r="N63" s="294">
        <f t="shared" si="18"/>
        <v>0.67</v>
      </c>
      <c r="O63" s="297">
        <f t="shared" si="16"/>
        <v>0.67</v>
      </c>
      <c r="P63" s="298">
        <f t="shared" si="16"/>
        <v>0.67</v>
      </c>
      <c r="R63" s="112">
        <f t="shared" si="19"/>
        <v>0</v>
      </c>
      <c r="T63" s="288">
        <v>0</v>
      </c>
      <c r="U63" s="289">
        <v>0</v>
      </c>
      <c r="V63" s="290">
        <v>0</v>
      </c>
    </row>
    <row r="64" spans="1:22" x14ac:dyDescent="0.25">
      <c r="A64" s="35" t="str">
        <f t="shared" si="17"/>
        <v>HRP5</v>
      </c>
      <c r="C64" s="174">
        <f>IF(C63="-","-",IF(C63+1&gt;COUNTA('0. Control Panel'!$C$7:$C$16),"-",C63+1))</f>
        <v>6</v>
      </c>
      <c r="D64" s="213" t="str">
        <f>IF(C64="-","-",INDEX('0. Control Panel'!$B$6:$K$16,MATCH('3. Product Benefit Input'!$C64,'0. Control Panel'!$B$6:$B$16,0),MATCH(D$6,'0. Control Panel'!$B$6:$K$6,0)))</f>
        <v>HR</v>
      </c>
      <c r="E64" s="174"/>
      <c r="F64" s="214">
        <f>IFERROR(INDEX('1. FTE Allocations'!$A$5:$I$307,MATCH($A64,'1. FTE Allocations'!$A$5:$A$307,0),MATCH(F$4,'1. FTE Allocations'!$A$5:$I$5,0)),0)</f>
        <v>0</v>
      </c>
      <c r="H64" s="288">
        <v>0</v>
      </c>
      <c r="I64" s="289">
        <v>0</v>
      </c>
      <c r="J64" s="290">
        <v>0</v>
      </c>
      <c r="L64" s="215">
        <f>IFERROR(INDEX('1. FTE Allocations'!$A$5:$I$307,MATCH($A64,'1. FTE Allocations'!$A$5:$A$307,0),MATCH(L$4,'1. FTE Allocations'!$A$5:$I$5,0)),0)</f>
        <v>0</v>
      </c>
      <c r="M64" s="211"/>
      <c r="N64" s="294">
        <f t="shared" si="18"/>
        <v>0</v>
      </c>
      <c r="O64" s="297">
        <f t="shared" si="16"/>
        <v>0</v>
      </c>
      <c r="P64" s="298">
        <f t="shared" si="16"/>
        <v>0</v>
      </c>
      <c r="R64" s="112">
        <f t="shared" si="19"/>
        <v>0</v>
      </c>
      <c r="T64" s="288">
        <v>0</v>
      </c>
      <c r="U64" s="289">
        <v>0</v>
      </c>
      <c r="V64" s="290">
        <v>0</v>
      </c>
    </row>
    <row r="65" spans="1:22" x14ac:dyDescent="0.25">
      <c r="A65" s="35" t="str">
        <f t="shared" si="17"/>
        <v>FinanceP5</v>
      </c>
      <c r="C65" s="174">
        <f>IF(C64="-","-",IF(C64+1&gt;COUNTA('0. Control Panel'!$C$7:$C$16),"-",C64+1))</f>
        <v>7</v>
      </c>
      <c r="D65" s="213" t="str">
        <f>IF(C65="-","-",INDEX('0. Control Panel'!$B$6:$K$16,MATCH('3. Product Benefit Input'!$C65,'0. Control Panel'!$B$6:$B$16,0),MATCH(D$6,'0. Control Panel'!$B$6:$K$6,0)))</f>
        <v>Finance</v>
      </c>
      <c r="E65" s="174"/>
      <c r="F65" s="214">
        <f>IFERROR(INDEX('1. FTE Allocations'!$A$5:$I$307,MATCH($A65,'1. FTE Allocations'!$A$5:$A$307,0),MATCH(F$4,'1. FTE Allocations'!$A$5:$I$5,0)),0)</f>
        <v>0</v>
      </c>
      <c r="H65" s="288">
        <v>0</v>
      </c>
      <c r="I65" s="289">
        <v>0</v>
      </c>
      <c r="J65" s="290">
        <v>0</v>
      </c>
      <c r="L65" s="215">
        <f>IFERROR(INDEX('1. FTE Allocations'!$A$5:$I$307,MATCH($A65,'1. FTE Allocations'!$A$5:$A$307,0),MATCH(L$4,'1. FTE Allocations'!$A$5:$I$5,0)),0)</f>
        <v>0</v>
      </c>
      <c r="M65" s="211"/>
      <c r="N65" s="294">
        <f t="shared" si="18"/>
        <v>0</v>
      </c>
      <c r="O65" s="297">
        <f t="shared" si="16"/>
        <v>0</v>
      </c>
      <c r="P65" s="298">
        <f t="shared" si="16"/>
        <v>0</v>
      </c>
      <c r="R65" s="112">
        <f t="shared" si="19"/>
        <v>0</v>
      </c>
      <c r="T65" s="288">
        <v>0</v>
      </c>
      <c r="U65" s="289">
        <v>0</v>
      </c>
      <c r="V65" s="290">
        <v>0</v>
      </c>
    </row>
    <row r="66" spans="1:22" x14ac:dyDescent="0.25">
      <c r="A66" s="35" t="str">
        <f t="shared" si="17"/>
        <v>Head OfficeP5</v>
      </c>
      <c r="C66" s="174">
        <f>IF(C65="-","-",IF(C65+1&gt;COUNTA('0. Control Panel'!$C$7:$C$16),"-",C65+1))</f>
        <v>8</v>
      </c>
      <c r="D66" s="213" t="str">
        <f>IF(C66="-","-",INDEX('0. Control Panel'!$B$6:$K$16,MATCH('3. Product Benefit Input'!$C66,'0. Control Panel'!$B$6:$B$16,0),MATCH(D$6,'0. Control Panel'!$B$6:$K$6,0)))</f>
        <v>Head Office</v>
      </c>
      <c r="E66" s="174"/>
      <c r="F66" s="214">
        <f>IFERROR(INDEX('1. FTE Allocations'!$A$5:$I$307,MATCH($A66,'1. FTE Allocations'!$A$5:$A$307,0),MATCH(F$4,'1. FTE Allocations'!$A$5:$I$5,0)),0)</f>
        <v>0</v>
      </c>
      <c r="H66" s="288">
        <v>0</v>
      </c>
      <c r="I66" s="289">
        <v>0</v>
      </c>
      <c r="J66" s="290">
        <v>0</v>
      </c>
      <c r="L66" s="215">
        <f>IFERROR(INDEX('1. FTE Allocations'!$A$5:$I$307,MATCH($A66,'1. FTE Allocations'!$A$5:$A$307,0),MATCH(L$4,'1. FTE Allocations'!$A$5:$I$5,0)),0)</f>
        <v>0</v>
      </c>
      <c r="M66" s="211"/>
      <c r="N66" s="294">
        <f t="shared" si="18"/>
        <v>0</v>
      </c>
      <c r="O66" s="297">
        <f t="shared" si="16"/>
        <v>0</v>
      </c>
      <c r="P66" s="298">
        <f t="shared" si="16"/>
        <v>0</v>
      </c>
      <c r="R66" s="112">
        <f t="shared" si="19"/>
        <v>0</v>
      </c>
      <c r="T66" s="288">
        <v>0</v>
      </c>
      <c r="U66" s="289">
        <v>0</v>
      </c>
      <c r="V66" s="290">
        <v>0</v>
      </c>
    </row>
    <row r="67" spans="1:22" x14ac:dyDescent="0.25">
      <c r="A67" s="35" t="str">
        <f t="shared" si="17"/>
        <v>-P5</v>
      </c>
      <c r="C67" s="174" t="str">
        <f>IF(C66="-","-",IF(C66+1&gt;COUNTA('0. Control Panel'!$C$7:$C$16),"-",C66+1))</f>
        <v>-</v>
      </c>
      <c r="D67" s="213" t="str">
        <f>IF(C67="-","-",INDEX('0. Control Panel'!$B$6:$K$16,MATCH('3. Product Benefit Input'!$C67,'0. Control Panel'!$B$6:$B$16,0),MATCH(D$6,'0. Control Panel'!$B$6:$K$6,0)))</f>
        <v>-</v>
      </c>
      <c r="E67" s="174"/>
      <c r="F67" s="214">
        <f>IFERROR(INDEX('1. FTE Allocations'!$A$5:$I$307,MATCH($A67,'1. FTE Allocations'!$A$5:$A$307,0),MATCH(F$4,'1. FTE Allocations'!$A$5:$I$5,0)),0)</f>
        <v>0</v>
      </c>
      <c r="H67" s="288">
        <v>0</v>
      </c>
      <c r="I67" s="289">
        <v>0</v>
      </c>
      <c r="J67" s="290">
        <v>0</v>
      </c>
      <c r="L67" s="215">
        <f>IFERROR(INDEX('1. FTE Allocations'!$A$5:$I$307,MATCH($A67,'1. FTE Allocations'!$A$5:$A$307,0),MATCH(L$4,'1. FTE Allocations'!$A$5:$I$5,0)),0)</f>
        <v>0</v>
      </c>
      <c r="M67" s="211"/>
      <c r="N67" s="294">
        <f t="shared" si="18"/>
        <v>0</v>
      </c>
      <c r="O67" s="297">
        <f t="shared" si="16"/>
        <v>0</v>
      </c>
      <c r="P67" s="298">
        <f t="shared" si="16"/>
        <v>0</v>
      </c>
      <c r="R67" s="112">
        <f t="shared" si="19"/>
        <v>0</v>
      </c>
      <c r="T67" s="288">
        <v>0</v>
      </c>
      <c r="U67" s="289">
        <v>0</v>
      </c>
      <c r="V67" s="290">
        <v>0</v>
      </c>
    </row>
    <row r="68" spans="1:22" x14ac:dyDescent="0.25">
      <c r="A68" s="35" t="str">
        <f t="shared" si="17"/>
        <v>-P5</v>
      </c>
      <c r="C68" s="175" t="str">
        <f>IF(C67="-","-",IF(C67+1&gt;COUNTA('0. Control Panel'!$C$7:$C$16),"-",C67+1))</f>
        <v>-</v>
      </c>
      <c r="D68" s="176" t="str">
        <f>IF(C68="-","-",INDEX('0. Control Panel'!$B$6:$K$16,MATCH('3. Product Benefit Input'!$C68,'0. Control Panel'!$B$6:$B$16,0),MATCH(D$6,'0. Control Panel'!$B$6:$K$6,0)))</f>
        <v>-</v>
      </c>
      <c r="E68" s="175"/>
      <c r="F68" s="216">
        <f>IFERROR(INDEX('1. FTE Allocations'!$A$5:$I$307,MATCH($A68,'1. FTE Allocations'!$A$5:$A$307,0),MATCH(F$4,'1. FTE Allocations'!$A$5:$I$5,0)),0)</f>
        <v>0</v>
      </c>
      <c r="H68" s="291">
        <v>0</v>
      </c>
      <c r="I68" s="292">
        <v>0</v>
      </c>
      <c r="J68" s="293">
        <v>0</v>
      </c>
      <c r="L68" s="217">
        <f>IFERROR(INDEX('1. FTE Allocations'!$A$5:$I$307,MATCH($A68,'1. FTE Allocations'!$A$5:$A$307,0),MATCH(L$4,'1. FTE Allocations'!$A$5:$I$5,0)),0)</f>
        <v>0</v>
      </c>
      <c r="M68" s="211"/>
      <c r="N68" s="299">
        <f t="shared" si="18"/>
        <v>0</v>
      </c>
      <c r="O68" s="300">
        <f t="shared" si="16"/>
        <v>0</v>
      </c>
      <c r="P68" s="301">
        <f t="shared" si="16"/>
        <v>0</v>
      </c>
      <c r="R68" s="112">
        <f t="shared" si="19"/>
        <v>0</v>
      </c>
      <c r="T68" s="291">
        <v>0</v>
      </c>
      <c r="U68" s="292">
        <v>0</v>
      </c>
      <c r="V68" s="293">
        <v>0</v>
      </c>
    </row>
    <row r="69" spans="1:22" x14ac:dyDescent="0.25">
      <c r="D69" s="314" t="s">
        <v>72</v>
      </c>
      <c r="F69" s="315">
        <f>SUM(F59:F68)</f>
        <v>227.47500000000002</v>
      </c>
      <c r="R69" s="316">
        <f>SUM(R59:R68)</f>
        <v>0</v>
      </c>
    </row>
    <row r="70" spans="1:22" ht="9.9499999999999993" customHeight="1" x14ac:dyDescent="0.25">
      <c r="F70" s="313"/>
      <c r="G70" s="35"/>
      <c r="R70" s="164"/>
    </row>
    <row r="71" spans="1:22" ht="15.95" customHeight="1" x14ac:dyDescent="0.25">
      <c r="C71" s="187" t="s">
        <v>27</v>
      </c>
      <c r="D71" s="203" t="str">
        <f>IF(INDEX('0. Control Panel'!$B$31:$C$41,MATCH('3. Product Benefit Input'!$C71,'0. Control Panel'!$B$31:$B$41,0),2)="","n/a",INDEX('0. Control Panel'!$B$31:$C$41,MATCH('3. Product Benefit Input'!$C71,'0. Control Panel'!$B$31:$B$41,0),2))</f>
        <v>Reduced Credit Risk Costs</v>
      </c>
      <c r="F71" s="218"/>
      <c r="G71" s="35"/>
      <c r="H71" s="35"/>
      <c r="I71" s="35"/>
      <c r="J71" s="35"/>
      <c r="K71" s="35"/>
      <c r="L71" s="35"/>
      <c r="M71" s="35"/>
      <c r="N71" s="35"/>
      <c r="O71" s="35"/>
      <c r="P71" s="35"/>
      <c r="Q71" s="35"/>
      <c r="R71" s="35"/>
      <c r="S71" s="35"/>
      <c r="T71" s="35"/>
      <c r="U71" s="35"/>
      <c r="V71" s="35"/>
    </row>
    <row r="72" spans="1:22" x14ac:dyDescent="0.25">
      <c r="A72" s="35" t="str">
        <f>D72&amp;$C$71</f>
        <v>ITP6</v>
      </c>
      <c r="C72" s="174">
        <f>IF(C69="-","-",IF(C69+1&gt;COUNTA('0. Control Panel'!$C$7:$C$16),"-",C69+1))</f>
        <v>1</v>
      </c>
      <c r="D72" s="171" t="str">
        <f>IF(C72="-","-",INDEX('0. Control Panel'!$B$6:$K$16,MATCH('3. Product Benefit Input'!$C72,'0. Control Panel'!$B$6:$B$16,0),MATCH(D$6,'0. Control Panel'!$B$6:$K$6,0)))</f>
        <v>IT</v>
      </c>
      <c r="E72" s="170"/>
      <c r="F72" s="209">
        <f>IFERROR(INDEX('1. FTE Allocations'!$A$5:$I$307,MATCH($A72,'1. FTE Allocations'!$A$5:$A$307,0),MATCH(F$4,'1. FTE Allocations'!$A$5:$I$5,0)),0)</f>
        <v>0</v>
      </c>
      <c r="H72" s="285">
        <v>0</v>
      </c>
      <c r="I72" s="286">
        <v>0</v>
      </c>
      <c r="J72" s="287">
        <v>0</v>
      </c>
      <c r="L72" s="210">
        <f>IFERROR(INDEX('1. FTE Allocations'!$A$5:$I$307,MATCH($A72,'1. FTE Allocations'!$A$5:$A$307,0),MATCH(L$4,'1. FTE Allocations'!$A$5:$I$5,0)),0)</f>
        <v>0</v>
      </c>
      <c r="M72" s="211"/>
      <c r="N72" s="302">
        <f>$L72</f>
        <v>0</v>
      </c>
      <c r="O72" s="295">
        <f t="shared" ref="O72:P81" si="20">$L72</f>
        <v>0</v>
      </c>
      <c r="P72" s="296">
        <f t="shared" si="20"/>
        <v>0</v>
      </c>
      <c r="R72" s="112">
        <f>AVERAGE(T72:V72)</f>
        <v>0</v>
      </c>
      <c r="T72" s="285">
        <v>0</v>
      </c>
      <c r="U72" s="286">
        <v>0</v>
      </c>
      <c r="V72" s="287">
        <v>0</v>
      </c>
    </row>
    <row r="73" spans="1:22" x14ac:dyDescent="0.25">
      <c r="A73" s="35" t="str">
        <f t="shared" ref="A73:A81" si="21">D73&amp;$C$71</f>
        <v>SalesP6</v>
      </c>
      <c r="C73" s="174">
        <f>IF(C72="-","-",IF(C72+1&gt;COUNTA('0. Control Panel'!$C$7:$C$16),"-",C72+1))</f>
        <v>2</v>
      </c>
      <c r="D73" s="213" t="str">
        <f>IF(C73="-","-",INDEX('0. Control Panel'!$B$6:$K$16,MATCH('3. Product Benefit Input'!$C73,'0. Control Panel'!$B$6:$B$16,0),MATCH(D$6,'0. Control Panel'!$B$6:$K$6,0)))</f>
        <v>Sales</v>
      </c>
      <c r="E73" s="174"/>
      <c r="F73" s="214">
        <f>IFERROR(INDEX('1. FTE Allocations'!$A$5:$I$307,MATCH($A73,'1. FTE Allocations'!$A$5:$A$307,0),MATCH(F$4,'1. FTE Allocations'!$A$5:$I$5,0)),0)</f>
        <v>0</v>
      </c>
      <c r="H73" s="288">
        <v>0</v>
      </c>
      <c r="I73" s="289">
        <v>0</v>
      </c>
      <c r="J73" s="290">
        <v>0</v>
      </c>
      <c r="L73" s="215">
        <f>IFERROR(INDEX('1. FTE Allocations'!$A$5:$I$307,MATCH($A73,'1. FTE Allocations'!$A$5:$A$307,0),MATCH(L$4,'1. FTE Allocations'!$A$5:$I$5,0)),0)</f>
        <v>0</v>
      </c>
      <c r="M73" s="211"/>
      <c r="N73" s="294">
        <f t="shared" ref="N73:N81" si="22">$L73</f>
        <v>0</v>
      </c>
      <c r="O73" s="297">
        <f t="shared" si="20"/>
        <v>0</v>
      </c>
      <c r="P73" s="298">
        <f t="shared" si="20"/>
        <v>0</v>
      </c>
      <c r="R73" s="112">
        <f t="shared" ref="R73:R81" si="23">AVERAGE(T73:V73)</f>
        <v>0</v>
      </c>
      <c r="T73" s="288">
        <v>0</v>
      </c>
      <c r="U73" s="289">
        <v>0</v>
      </c>
      <c r="V73" s="290">
        <v>0</v>
      </c>
    </row>
    <row r="74" spans="1:22" x14ac:dyDescent="0.25">
      <c r="A74" s="35" t="str">
        <f t="shared" si="21"/>
        <v>Product AP6</v>
      </c>
      <c r="C74" s="174">
        <f>IF(C73="-","-",IF(C73+1&gt;COUNTA('0. Control Panel'!$C$7:$C$16),"-",C73+1))</f>
        <v>3</v>
      </c>
      <c r="D74" s="213" t="str">
        <f>IF(C74="-","-",INDEX('0. Control Panel'!$B$6:$K$16,MATCH('3. Product Benefit Input'!$C74,'0. Control Panel'!$B$6:$B$16,0),MATCH(D$6,'0. Control Panel'!$B$6:$K$6,0)))</f>
        <v>Product A</v>
      </c>
      <c r="E74" s="174"/>
      <c r="F74" s="214">
        <f>IFERROR(INDEX('1. FTE Allocations'!$A$5:$I$307,MATCH($A74,'1. FTE Allocations'!$A$5:$A$307,0),MATCH(F$4,'1. FTE Allocations'!$A$5:$I$5,0)),0)</f>
        <v>0</v>
      </c>
      <c r="H74" s="288">
        <v>0</v>
      </c>
      <c r="I74" s="289">
        <v>0</v>
      </c>
      <c r="J74" s="290">
        <v>0</v>
      </c>
      <c r="L74" s="215">
        <f>IFERROR(INDEX('1. FTE Allocations'!$A$5:$I$307,MATCH($A74,'1. FTE Allocations'!$A$5:$A$307,0),MATCH(L$4,'1. FTE Allocations'!$A$5:$I$5,0)),0)</f>
        <v>0</v>
      </c>
      <c r="M74" s="211"/>
      <c r="N74" s="294">
        <f t="shared" si="22"/>
        <v>0</v>
      </c>
      <c r="O74" s="297">
        <f t="shared" si="20"/>
        <v>0</v>
      </c>
      <c r="P74" s="298">
        <f t="shared" si="20"/>
        <v>0</v>
      </c>
      <c r="R74" s="112">
        <f t="shared" si="23"/>
        <v>0</v>
      </c>
      <c r="T74" s="288">
        <v>0</v>
      </c>
      <c r="U74" s="289">
        <v>0</v>
      </c>
      <c r="V74" s="290">
        <v>0</v>
      </c>
    </row>
    <row r="75" spans="1:22" x14ac:dyDescent="0.25">
      <c r="A75" s="35" t="str">
        <f t="shared" si="21"/>
        <v>Product BP6</v>
      </c>
      <c r="C75" s="174">
        <f>IF(C74="-","-",IF(C74+1&gt;COUNTA('0. Control Panel'!$C$7:$C$16),"-",C74+1))</f>
        <v>4</v>
      </c>
      <c r="D75" s="213" t="str">
        <f>IF(C75="-","-",INDEX('0. Control Panel'!$B$6:$K$16,MATCH('3. Product Benefit Input'!$C75,'0. Control Panel'!$B$6:$B$16,0),MATCH(D$6,'0. Control Panel'!$B$6:$K$6,0)))</f>
        <v>Product B</v>
      </c>
      <c r="E75" s="174"/>
      <c r="F75" s="214">
        <f>IFERROR(INDEX('1. FTE Allocations'!$A$5:$I$307,MATCH($A75,'1. FTE Allocations'!$A$5:$A$307,0),MATCH(F$4,'1. FTE Allocations'!$A$5:$I$5,0)),0)</f>
        <v>0</v>
      </c>
      <c r="H75" s="288">
        <v>0</v>
      </c>
      <c r="I75" s="289">
        <v>0</v>
      </c>
      <c r="J75" s="290">
        <v>0</v>
      </c>
      <c r="L75" s="215">
        <f>IFERROR(INDEX('1. FTE Allocations'!$A$5:$I$307,MATCH($A75,'1. FTE Allocations'!$A$5:$A$307,0),MATCH(L$4,'1. FTE Allocations'!$A$5:$I$5,0)),0)</f>
        <v>0</v>
      </c>
      <c r="M75" s="211"/>
      <c r="N75" s="294">
        <f t="shared" si="22"/>
        <v>0</v>
      </c>
      <c r="O75" s="297">
        <f t="shared" si="20"/>
        <v>0</v>
      </c>
      <c r="P75" s="298">
        <f t="shared" si="20"/>
        <v>0</v>
      </c>
      <c r="R75" s="112">
        <f t="shared" si="23"/>
        <v>0</v>
      </c>
      <c r="T75" s="288">
        <v>0</v>
      </c>
      <c r="U75" s="289">
        <v>0</v>
      </c>
      <c r="V75" s="290">
        <v>0</v>
      </c>
    </row>
    <row r="76" spans="1:22" x14ac:dyDescent="0.25">
      <c r="A76" s="35" t="str">
        <f t="shared" si="21"/>
        <v>R&amp;DP6</v>
      </c>
      <c r="C76" s="174">
        <f>IF(C75="-","-",IF(C75+1&gt;COUNTA('0. Control Panel'!$C$7:$C$16),"-",C75+1))</f>
        <v>5</v>
      </c>
      <c r="D76" s="213" t="str">
        <f>IF(C76="-","-",INDEX('0. Control Panel'!$B$6:$K$16,MATCH('3. Product Benefit Input'!$C76,'0. Control Panel'!$B$6:$B$16,0),MATCH(D$6,'0. Control Panel'!$B$6:$K$6,0)))</f>
        <v>R&amp;D</v>
      </c>
      <c r="E76" s="174"/>
      <c r="F76" s="214">
        <f>IFERROR(INDEX('1. FTE Allocations'!$A$5:$I$307,MATCH($A76,'1. FTE Allocations'!$A$5:$A$307,0),MATCH(F$4,'1. FTE Allocations'!$A$5:$I$5,0)),0)</f>
        <v>0</v>
      </c>
      <c r="H76" s="288">
        <v>0</v>
      </c>
      <c r="I76" s="289">
        <v>0</v>
      </c>
      <c r="J76" s="290">
        <v>0</v>
      </c>
      <c r="L76" s="215">
        <f>IFERROR(INDEX('1. FTE Allocations'!$A$5:$I$307,MATCH($A76,'1. FTE Allocations'!$A$5:$A$307,0),MATCH(L$4,'1. FTE Allocations'!$A$5:$I$5,0)),0)</f>
        <v>0</v>
      </c>
      <c r="M76" s="211"/>
      <c r="N76" s="294">
        <f t="shared" si="22"/>
        <v>0</v>
      </c>
      <c r="O76" s="297">
        <f t="shared" si="20"/>
        <v>0</v>
      </c>
      <c r="P76" s="298">
        <f t="shared" si="20"/>
        <v>0</v>
      </c>
      <c r="R76" s="112">
        <f t="shared" si="23"/>
        <v>0</v>
      </c>
      <c r="T76" s="288">
        <v>0</v>
      </c>
      <c r="U76" s="289">
        <v>0</v>
      </c>
      <c r="V76" s="290">
        <v>0</v>
      </c>
    </row>
    <row r="77" spans="1:22" x14ac:dyDescent="0.25">
      <c r="A77" s="35" t="str">
        <f t="shared" si="21"/>
        <v>HRP6</v>
      </c>
      <c r="C77" s="174">
        <f>IF(C76="-","-",IF(C76+1&gt;COUNTA('0. Control Panel'!$C$7:$C$16),"-",C76+1))</f>
        <v>6</v>
      </c>
      <c r="D77" s="213" t="str">
        <f>IF(C77="-","-",INDEX('0. Control Panel'!$B$6:$K$16,MATCH('3. Product Benefit Input'!$C77,'0. Control Panel'!$B$6:$B$16,0),MATCH(D$6,'0. Control Panel'!$B$6:$K$6,0)))</f>
        <v>HR</v>
      </c>
      <c r="E77" s="174"/>
      <c r="F77" s="214">
        <f>IFERROR(INDEX('1. FTE Allocations'!$A$5:$I$307,MATCH($A77,'1. FTE Allocations'!$A$5:$A$307,0),MATCH(F$4,'1. FTE Allocations'!$A$5:$I$5,0)),0)</f>
        <v>0</v>
      </c>
      <c r="H77" s="288">
        <v>0</v>
      </c>
      <c r="I77" s="289">
        <v>0</v>
      </c>
      <c r="J77" s="290">
        <v>0</v>
      </c>
      <c r="L77" s="215">
        <f>IFERROR(INDEX('1. FTE Allocations'!$A$5:$I$307,MATCH($A77,'1. FTE Allocations'!$A$5:$A$307,0),MATCH(L$4,'1. FTE Allocations'!$A$5:$I$5,0)),0)</f>
        <v>0</v>
      </c>
      <c r="M77" s="211"/>
      <c r="N77" s="294">
        <f t="shared" si="22"/>
        <v>0</v>
      </c>
      <c r="O77" s="297">
        <f t="shared" si="20"/>
        <v>0</v>
      </c>
      <c r="P77" s="298">
        <f t="shared" si="20"/>
        <v>0</v>
      </c>
      <c r="R77" s="112">
        <f t="shared" si="23"/>
        <v>0</v>
      </c>
      <c r="T77" s="288">
        <v>0</v>
      </c>
      <c r="U77" s="289">
        <v>0</v>
      </c>
      <c r="V77" s="290">
        <v>0</v>
      </c>
    </row>
    <row r="78" spans="1:22" x14ac:dyDescent="0.25">
      <c r="A78" s="35" t="str">
        <f t="shared" si="21"/>
        <v>FinanceP6</v>
      </c>
      <c r="C78" s="174">
        <f>IF(C77="-","-",IF(C77+1&gt;COUNTA('0. Control Panel'!$C$7:$C$16),"-",C77+1))</f>
        <v>7</v>
      </c>
      <c r="D78" s="213" t="str">
        <f>IF(C78="-","-",INDEX('0. Control Panel'!$B$6:$K$16,MATCH('3. Product Benefit Input'!$C78,'0. Control Panel'!$B$6:$B$16,0),MATCH(D$6,'0. Control Panel'!$B$6:$K$6,0)))</f>
        <v>Finance</v>
      </c>
      <c r="E78" s="174"/>
      <c r="F78" s="214">
        <f>IFERROR(INDEX('1. FTE Allocations'!$A$5:$I$307,MATCH($A78,'1. FTE Allocations'!$A$5:$A$307,0),MATCH(F$4,'1. FTE Allocations'!$A$5:$I$5,0)),0)</f>
        <v>16.2</v>
      </c>
      <c r="H78" s="288">
        <v>-2</v>
      </c>
      <c r="I78" s="289">
        <v>-3</v>
      </c>
      <c r="J78" s="290">
        <v>-6</v>
      </c>
      <c r="L78" s="215">
        <f>IFERROR(INDEX('1. FTE Allocations'!$A$5:$I$307,MATCH($A78,'1. FTE Allocations'!$A$5:$A$307,0),MATCH(L$4,'1. FTE Allocations'!$A$5:$I$5,0)),0)</f>
        <v>1</v>
      </c>
      <c r="M78" s="211"/>
      <c r="N78" s="294">
        <f t="shared" si="22"/>
        <v>1</v>
      </c>
      <c r="O78" s="297">
        <v>0.9</v>
      </c>
      <c r="P78" s="298">
        <v>0.8</v>
      </c>
      <c r="R78" s="112">
        <f t="shared" si="23"/>
        <v>0</v>
      </c>
      <c r="T78" s="288">
        <v>0</v>
      </c>
      <c r="U78" s="289">
        <v>0</v>
      </c>
      <c r="V78" s="290">
        <v>0</v>
      </c>
    </row>
    <row r="79" spans="1:22" x14ac:dyDescent="0.25">
      <c r="A79" s="35" t="str">
        <f t="shared" si="21"/>
        <v>Head OfficeP6</v>
      </c>
      <c r="C79" s="174">
        <f>IF(C78="-","-",IF(C78+1&gt;COUNTA('0. Control Panel'!$C$7:$C$16),"-",C78+1))</f>
        <v>8</v>
      </c>
      <c r="D79" s="213" t="str">
        <f>IF(C79="-","-",INDEX('0. Control Panel'!$B$6:$K$16,MATCH('3. Product Benefit Input'!$C79,'0. Control Panel'!$B$6:$B$16,0),MATCH(D$6,'0. Control Panel'!$B$6:$K$6,0)))</f>
        <v>Head Office</v>
      </c>
      <c r="E79" s="174"/>
      <c r="F79" s="214">
        <f>IFERROR(INDEX('1. FTE Allocations'!$A$5:$I$307,MATCH($A79,'1. FTE Allocations'!$A$5:$A$307,0),MATCH(F$4,'1. FTE Allocations'!$A$5:$I$5,0)),0)</f>
        <v>0</v>
      </c>
      <c r="H79" s="288">
        <v>0</v>
      </c>
      <c r="I79" s="289">
        <v>0</v>
      </c>
      <c r="J79" s="290">
        <v>0</v>
      </c>
      <c r="L79" s="215">
        <f>IFERROR(INDEX('1. FTE Allocations'!$A$5:$I$307,MATCH($A79,'1. FTE Allocations'!$A$5:$A$307,0),MATCH(L$4,'1. FTE Allocations'!$A$5:$I$5,0)),0)</f>
        <v>0</v>
      </c>
      <c r="M79" s="211"/>
      <c r="N79" s="294">
        <f t="shared" si="22"/>
        <v>0</v>
      </c>
      <c r="O79" s="297">
        <f t="shared" si="20"/>
        <v>0</v>
      </c>
      <c r="P79" s="298">
        <f t="shared" si="20"/>
        <v>0</v>
      </c>
      <c r="R79" s="112">
        <f t="shared" si="23"/>
        <v>0</v>
      </c>
      <c r="T79" s="288">
        <v>0</v>
      </c>
      <c r="U79" s="289">
        <v>0</v>
      </c>
      <c r="V79" s="290">
        <v>0</v>
      </c>
    </row>
    <row r="80" spans="1:22" x14ac:dyDescent="0.25">
      <c r="A80" s="35" t="str">
        <f t="shared" si="21"/>
        <v>-P6</v>
      </c>
      <c r="C80" s="174" t="str">
        <f>IF(C79="-","-",IF(C79+1&gt;COUNTA('0. Control Panel'!$C$7:$C$16),"-",C79+1))</f>
        <v>-</v>
      </c>
      <c r="D80" s="213" t="str">
        <f>IF(C80="-","-",INDEX('0. Control Panel'!$B$6:$K$16,MATCH('3. Product Benefit Input'!$C80,'0. Control Panel'!$B$6:$B$16,0),MATCH(D$6,'0. Control Panel'!$B$6:$K$6,0)))</f>
        <v>-</v>
      </c>
      <c r="E80" s="174"/>
      <c r="F80" s="214">
        <f>IFERROR(INDEX('1. FTE Allocations'!$A$5:$I$307,MATCH($A80,'1. FTE Allocations'!$A$5:$A$307,0),MATCH(F$4,'1. FTE Allocations'!$A$5:$I$5,0)),0)</f>
        <v>0</v>
      </c>
      <c r="H80" s="288">
        <v>0</v>
      </c>
      <c r="I80" s="289">
        <v>0</v>
      </c>
      <c r="J80" s="290">
        <v>0</v>
      </c>
      <c r="L80" s="215">
        <f>IFERROR(INDEX('1. FTE Allocations'!$A$5:$I$307,MATCH($A80,'1. FTE Allocations'!$A$5:$A$307,0),MATCH(L$4,'1. FTE Allocations'!$A$5:$I$5,0)),0)</f>
        <v>0</v>
      </c>
      <c r="M80" s="211"/>
      <c r="N80" s="294">
        <f t="shared" si="22"/>
        <v>0</v>
      </c>
      <c r="O80" s="297">
        <f t="shared" si="20"/>
        <v>0</v>
      </c>
      <c r="P80" s="298">
        <f t="shared" si="20"/>
        <v>0</v>
      </c>
      <c r="R80" s="112">
        <f t="shared" si="23"/>
        <v>0</v>
      </c>
      <c r="T80" s="288">
        <v>0</v>
      </c>
      <c r="U80" s="289">
        <v>0</v>
      </c>
      <c r="V80" s="290">
        <v>0</v>
      </c>
    </row>
    <row r="81" spans="1:22" x14ac:dyDescent="0.25">
      <c r="A81" s="35" t="str">
        <f t="shared" si="21"/>
        <v>-P6</v>
      </c>
      <c r="C81" s="175" t="str">
        <f>IF(C80="-","-",IF(C80+1&gt;COUNTA('0. Control Panel'!$C$7:$C$16),"-",C80+1))</f>
        <v>-</v>
      </c>
      <c r="D81" s="176" t="str">
        <f>IF(C81="-","-",INDEX('0. Control Panel'!$B$6:$K$16,MATCH('3. Product Benefit Input'!$C81,'0. Control Panel'!$B$6:$B$16,0),MATCH(D$6,'0. Control Panel'!$B$6:$K$6,0)))</f>
        <v>-</v>
      </c>
      <c r="E81" s="175"/>
      <c r="F81" s="216">
        <f>IFERROR(INDEX('1. FTE Allocations'!$A$5:$I$307,MATCH($A81,'1. FTE Allocations'!$A$5:$A$307,0),MATCH(F$4,'1. FTE Allocations'!$A$5:$I$5,0)),0)</f>
        <v>0</v>
      </c>
      <c r="H81" s="291">
        <v>0</v>
      </c>
      <c r="I81" s="292">
        <v>0</v>
      </c>
      <c r="J81" s="293">
        <v>0</v>
      </c>
      <c r="L81" s="217">
        <f>IFERROR(INDEX('1. FTE Allocations'!$A$5:$I$307,MATCH($A81,'1. FTE Allocations'!$A$5:$A$307,0),MATCH(L$4,'1. FTE Allocations'!$A$5:$I$5,0)),0)</f>
        <v>0</v>
      </c>
      <c r="M81" s="211"/>
      <c r="N81" s="299">
        <f t="shared" si="22"/>
        <v>0</v>
      </c>
      <c r="O81" s="300">
        <f t="shared" si="20"/>
        <v>0</v>
      </c>
      <c r="P81" s="301">
        <f t="shared" si="20"/>
        <v>0</v>
      </c>
      <c r="R81" s="112">
        <f t="shared" si="23"/>
        <v>0</v>
      </c>
      <c r="T81" s="291">
        <v>0</v>
      </c>
      <c r="U81" s="292">
        <v>0</v>
      </c>
      <c r="V81" s="293">
        <v>0</v>
      </c>
    </row>
    <row r="82" spans="1:22" x14ac:dyDescent="0.25">
      <c r="D82" s="314" t="s">
        <v>72</v>
      </c>
      <c r="F82" s="315">
        <f>SUM(F72:F81)</f>
        <v>16.2</v>
      </c>
      <c r="G82" s="35"/>
      <c r="R82" s="316">
        <f>SUM(R72:R81)</f>
        <v>0</v>
      </c>
    </row>
    <row r="83" spans="1:22" ht="9.9499999999999993" customHeight="1" x14ac:dyDescent="0.25">
      <c r="F83" s="313"/>
      <c r="G83" s="35"/>
      <c r="R83" s="164"/>
    </row>
    <row r="84" spans="1:22" ht="15.95" customHeight="1" x14ac:dyDescent="0.25">
      <c r="C84" s="187" t="s">
        <v>28</v>
      </c>
      <c r="D84" s="203" t="str">
        <f>IF(INDEX('0. Control Panel'!$B$31:$C$41,MATCH('3. Product Benefit Input'!$C84,'0. Control Panel'!$B$31:$B$41,0),2)="","n/a",INDEX('0. Control Panel'!$B$31:$C$41,MATCH('3. Product Benefit Input'!$C84,'0. Control Panel'!$B$31:$B$41,0),2))</f>
        <v>Reduced Non-Compliance Risk  Costs</v>
      </c>
      <c r="F84" s="218"/>
      <c r="G84" s="35"/>
      <c r="H84" s="35"/>
      <c r="I84" s="35"/>
      <c r="J84" s="35"/>
      <c r="K84" s="35"/>
      <c r="L84" s="35"/>
      <c r="M84" s="35"/>
      <c r="N84" s="35"/>
      <c r="O84" s="35"/>
      <c r="P84" s="35"/>
      <c r="Q84" s="35"/>
      <c r="R84" s="35"/>
      <c r="S84" s="35"/>
      <c r="T84" s="35"/>
      <c r="U84" s="35"/>
      <c r="V84" s="35"/>
    </row>
    <row r="85" spans="1:22" x14ac:dyDescent="0.25">
      <c r="A85" s="35" t="str">
        <f>D85&amp;$C$84</f>
        <v>ITP7</v>
      </c>
      <c r="C85" s="174">
        <f>IF(C82="-","-",IF(C82+1&gt;COUNTA('0. Control Panel'!$C$7:$C$16),"-",C82+1))</f>
        <v>1</v>
      </c>
      <c r="D85" s="171" t="str">
        <f>IF(C85="-","-",INDEX('0. Control Panel'!$B$6:$K$16,MATCH('3. Product Benefit Input'!$C85,'0. Control Panel'!$B$6:$B$16,0),MATCH(D$6,'0. Control Panel'!$B$6:$K$6,0)))</f>
        <v>IT</v>
      </c>
      <c r="E85" s="170"/>
      <c r="F85" s="209">
        <f>IFERROR(INDEX('1. FTE Allocations'!$A$5:$I$307,MATCH($A85,'1. FTE Allocations'!$A$5:$A$307,0),MATCH(F$4,'1. FTE Allocations'!$A$5:$I$5,0)),0)</f>
        <v>0</v>
      </c>
      <c r="H85" s="285">
        <v>0</v>
      </c>
      <c r="I85" s="286">
        <v>0</v>
      </c>
      <c r="J85" s="287">
        <v>0</v>
      </c>
      <c r="L85" s="210">
        <f>IFERROR(INDEX('1. FTE Allocations'!$A$5:$I$307,MATCH($A85,'1. FTE Allocations'!$A$5:$A$307,0),MATCH(L$4,'1. FTE Allocations'!$A$5:$I$5,0)),0)</f>
        <v>0</v>
      </c>
      <c r="M85" s="211"/>
      <c r="N85" s="302">
        <f>$L85</f>
        <v>0</v>
      </c>
      <c r="O85" s="295">
        <f t="shared" ref="O85:P94" si="24">$L85</f>
        <v>0</v>
      </c>
      <c r="P85" s="296">
        <f t="shared" si="24"/>
        <v>0</v>
      </c>
      <c r="R85" s="112">
        <f>AVERAGE(T85:V85)</f>
        <v>0</v>
      </c>
      <c r="T85" s="285">
        <v>0</v>
      </c>
      <c r="U85" s="286">
        <v>0</v>
      </c>
      <c r="V85" s="287">
        <v>0</v>
      </c>
    </row>
    <row r="86" spans="1:22" x14ac:dyDescent="0.25">
      <c r="A86" s="35" t="str">
        <f t="shared" ref="A86:A94" si="25">D86&amp;$C$84</f>
        <v>SalesP7</v>
      </c>
      <c r="C86" s="174">
        <f>IF(C85="-","-",IF(C85+1&gt;COUNTA('0. Control Panel'!$C$7:$C$16),"-",C85+1))</f>
        <v>2</v>
      </c>
      <c r="D86" s="213" t="str">
        <f>IF(C86="-","-",INDEX('0. Control Panel'!$B$6:$K$16,MATCH('3. Product Benefit Input'!$C86,'0. Control Panel'!$B$6:$B$16,0),MATCH(D$6,'0. Control Panel'!$B$6:$K$6,0)))</f>
        <v>Sales</v>
      </c>
      <c r="E86" s="174"/>
      <c r="F86" s="214">
        <f>IFERROR(INDEX('1. FTE Allocations'!$A$5:$I$307,MATCH($A86,'1. FTE Allocations'!$A$5:$A$307,0),MATCH(F$4,'1. FTE Allocations'!$A$5:$I$5,0)),0)</f>
        <v>0</v>
      </c>
      <c r="H86" s="288">
        <v>0</v>
      </c>
      <c r="I86" s="289">
        <v>0</v>
      </c>
      <c r="J86" s="290">
        <v>0</v>
      </c>
      <c r="L86" s="215">
        <f>IFERROR(INDEX('1. FTE Allocations'!$A$5:$I$307,MATCH($A86,'1. FTE Allocations'!$A$5:$A$307,0),MATCH(L$4,'1. FTE Allocations'!$A$5:$I$5,0)),0)</f>
        <v>0</v>
      </c>
      <c r="M86" s="211"/>
      <c r="N86" s="294">
        <f t="shared" ref="N86:N94" si="26">$L86</f>
        <v>0</v>
      </c>
      <c r="O86" s="297">
        <f t="shared" si="24"/>
        <v>0</v>
      </c>
      <c r="P86" s="298">
        <f t="shared" si="24"/>
        <v>0</v>
      </c>
      <c r="R86" s="112">
        <f t="shared" ref="R86:R94" si="27">AVERAGE(T86:V86)</f>
        <v>0</v>
      </c>
      <c r="T86" s="288">
        <v>0</v>
      </c>
      <c r="U86" s="289">
        <v>0</v>
      </c>
      <c r="V86" s="290">
        <v>0</v>
      </c>
    </row>
    <row r="87" spans="1:22" x14ac:dyDescent="0.25">
      <c r="A87" s="35" t="str">
        <f t="shared" si="25"/>
        <v>Product AP7</v>
      </c>
      <c r="C87" s="174">
        <f>IF(C86="-","-",IF(C86+1&gt;COUNTA('0. Control Panel'!$C$7:$C$16),"-",C86+1))</f>
        <v>3</v>
      </c>
      <c r="D87" s="213" t="str">
        <f>IF(C87="-","-",INDEX('0. Control Panel'!$B$6:$K$16,MATCH('3. Product Benefit Input'!$C87,'0. Control Panel'!$B$6:$B$16,0),MATCH(D$6,'0. Control Panel'!$B$6:$K$6,0)))</f>
        <v>Product A</v>
      </c>
      <c r="E87" s="174"/>
      <c r="F87" s="214">
        <f>IFERROR(INDEX('1. FTE Allocations'!$A$5:$I$307,MATCH($A87,'1. FTE Allocations'!$A$5:$A$307,0),MATCH(F$4,'1. FTE Allocations'!$A$5:$I$5,0)),0)</f>
        <v>0</v>
      </c>
      <c r="H87" s="288">
        <v>0</v>
      </c>
      <c r="I87" s="289">
        <v>0</v>
      </c>
      <c r="J87" s="290">
        <v>0</v>
      </c>
      <c r="L87" s="215">
        <f>IFERROR(INDEX('1. FTE Allocations'!$A$5:$I$307,MATCH($A87,'1. FTE Allocations'!$A$5:$A$307,0),MATCH(L$4,'1. FTE Allocations'!$A$5:$I$5,0)),0)</f>
        <v>0</v>
      </c>
      <c r="M87" s="211"/>
      <c r="N87" s="294">
        <f t="shared" si="26"/>
        <v>0</v>
      </c>
      <c r="O87" s="297">
        <f t="shared" si="24"/>
        <v>0</v>
      </c>
      <c r="P87" s="298">
        <f t="shared" si="24"/>
        <v>0</v>
      </c>
      <c r="R87" s="112">
        <f t="shared" si="27"/>
        <v>0</v>
      </c>
      <c r="T87" s="288">
        <v>0</v>
      </c>
      <c r="U87" s="289">
        <v>0</v>
      </c>
      <c r="V87" s="290">
        <v>0</v>
      </c>
    </row>
    <row r="88" spans="1:22" x14ac:dyDescent="0.25">
      <c r="A88" s="35" t="str">
        <f t="shared" si="25"/>
        <v>Product BP7</v>
      </c>
      <c r="C88" s="174">
        <f>IF(C87="-","-",IF(C87+1&gt;COUNTA('0. Control Panel'!$C$7:$C$16),"-",C87+1))</f>
        <v>4</v>
      </c>
      <c r="D88" s="213" t="str">
        <f>IF(C88="-","-",INDEX('0. Control Panel'!$B$6:$K$16,MATCH('3. Product Benefit Input'!$C88,'0. Control Panel'!$B$6:$B$16,0),MATCH(D$6,'0. Control Panel'!$B$6:$K$6,0)))</f>
        <v>Product B</v>
      </c>
      <c r="E88" s="174"/>
      <c r="F88" s="214">
        <f>IFERROR(INDEX('1. FTE Allocations'!$A$5:$I$307,MATCH($A88,'1. FTE Allocations'!$A$5:$A$307,0),MATCH(F$4,'1. FTE Allocations'!$A$5:$I$5,0)),0)</f>
        <v>0</v>
      </c>
      <c r="H88" s="288">
        <v>0</v>
      </c>
      <c r="I88" s="289">
        <v>0</v>
      </c>
      <c r="J88" s="290">
        <v>0</v>
      </c>
      <c r="L88" s="215">
        <f>IFERROR(INDEX('1. FTE Allocations'!$A$5:$I$307,MATCH($A88,'1. FTE Allocations'!$A$5:$A$307,0),MATCH(L$4,'1. FTE Allocations'!$A$5:$I$5,0)),0)</f>
        <v>0</v>
      </c>
      <c r="M88" s="211"/>
      <c r="N88" s="294">
        <f t="shared" si="26"/>
        <v>0</v>
      </c>
      <c r="O88" s="297">
        <f t="shared" si="24"/>
        <v>0</v>
      </c>
      <c r="P88" s="298">
        <f t="shared" si="24"/>
        <v>0</v>
      </c>
      <c r="R88" s="112">
        <f t="shared" si="27"/>
        <v>0</v>
      </c>
      <c r="T88" s="288">
        <v>0</v>
      </c>
      <c r="U88" s="289">
        <v>0</v>
      </c>
      <c r="V88" s="290">
        <v>0</v>
      </c>
    </row>
    <row r="89" spans="1:22" x14ac:dyDescent="0.25">
      <c r="A89" s="35" t="str">
        <f t="shared" si="25"/>
        <v>R&amp;DP7</v>
      </c>
      <c r="C89" s="174">
        <f>IF(C88="-","-",IF(C88+1&gt;COUNTA('0. Control Panel'!$C$7:$C$16),"-",C88+1))</f>
        <v>5</v>
      </c>
      <c r="D89" s="213" t="str">
        <f>IF(C89="-","-",INDEX('0. Control Panel'!$B$6:$K$16,MATCH('3. Product Benefit Input'!$C89,'0. Control Panel'!$B$6:$B$16,0),MATCH(D$6,'0. Control Panel'!$B$6:$K$6,0)))</f>
        <v>R&amp;D</v>
      </c>
      <c r="E89" s="174"/>
      <c r="F89" s="214">
        <f>IFERROR(INDEX('1. FTE Allocations'!$A$5:$I$307,MATCH($A89,'1. FTE Allocations'!$A$5:$A$307,0),MATCH(F$4,'1. FTE Allocations'!$A$5:$I$5,0)),0)</f>
        <v>0</v>
      </c>
      <c r="H89" s="288">
        <v>0</v>
      </c>
      <c r="I89" s="289">
        <v>0</v>
      </c>
      <c r="J89" s="290">
        <v>0</v>
      </c>
      <c r="L89" s="215">
        <f>IFERROR(INDEX('1. FTE Allocations'!$A$5:$I$307,MATCH($A89,'1. FTE Allocations'!$A$5:$A$307,0),MATCH(L$4,'1. FTE Allocations'!$A$5:$I$5,0)),0)</f>
        <v>0</v>
      </c>
      <c r="M89" s="211"/>
      <c r="N89" s="294">
        <f t="shared" si="26"/>
        <v>0</v>
      </c>
      <c r="O89" s="297">
        <f t="shared" si="24"/>
        <v>0</v>
      </c>
      <c r="P89" s="298">
        <f t="shared" si="24"/>
        <v>0</v>
      </c>
      <c r="R89" s="112">
        <f t="shared" si="27"/>
        <v>0</v>
      </c>
      <c r="T89" s="288">
        <v>0</v>
      </c>
      <c r="U89" s="289">
        <v>0</v>
      </c>
      <c r="V89" s="290">
        <v>0</v>
      </c>
    </row>
    <row r="90" spans="1:22" x14ac:dyDescent="0.25">
      <c r="A90" s="35" t="str">
        <f t="shared" si="25"/>
        <v>HRP7</v>
      </c>
      <c r="C90" s="174">
        <f>IF(C89="-","-",IF(C89+1&gt;COUNTA('0. Control Panel'!$C$7:$C$16),"-",C89+1))</f>
        <v>6</v>
      </c>
      <c r="D90" s="213" t="str">
        <f>IF(C90="-","-",INDEX('0. Control Panel'!$B$6:$K$16,MATCH('3. Product Benefit Input'!$C90,'0. Control Panel'!$B$6:$B$16,0),MATCH(D$6,'0. Control Panel'!$B$6:$K$6,0)))</f>
        <v>HR</v>
      </c>
      <c r="E90" s="174"/>
      <c r="F90" s="214">
        <f>IFERROR(INDEX('1. FTE Allocations'!$A$5:$I$307,MATCH($A90,'1. FTE Allocations'!$A$5:$A$307,0),MATCH(F$4,'1. FTE Allocations'!$A$5:$I$5,0)),0)</f>
        <v>9.4500000000000011</v>
      </c>
      <c r="H90" s="288">
        <v>-3</v>
      </c>
      <c r="I90" s="289">
        <v>-4</v>
      </c>
      <c r="J90" s="290">
        <v>-5</v>
      </c>
      <c r="L90" s="215">
        <f>IFERROR(INDEX('1. FTE Allocations'!$A$5:$I$307,MATCH($A90,'1. FTE Allocations'!$A$5:$A$307,0),MATCH(L$4,'1. FTE Allocations'!$A$5:$I$5,0)),0)</f>
        <v>1</v>
      </c>
      <c r="M90" s="211"/>
      <c r="N90" s="294">
        <f t="shared" si="26"/>
        <v>1</v>
      </c>
      <c r="O90" s="297">
        <f t="shared" si="24"/>
        <v>1</v>
      </c>
      <c r="P90" s="298">
        <f t="shared" si="24"/>
        <v>1</v>
      </c>
      <c r="R90" s="112">
        <f t="shared" si="27"/>
        <v>0</v>
      </c>
      <c r="T90" s="288">
        <v>0</v>
      </c>
      <c r="U90" s="289">
        <v>0</v>
      </c>
      <c r="V90" s="290">
        <v>0</v>
      </c>
    </row>
    <row r="91" spans="1:22" x14ac:dyDescent="0.25">
      <c r="A91" s="35" t="str">
        <f t="shared" si="25"/>
        <v>FinanceP7</v>
      </c>
      <c r="C91" s="174">
        <f>IF(C90="-","-",IF(C90+1&gt;COUNTA('0. Control Panel'!$C$7:$C$16),"-",C90+1))</f>
        <v>7</v>
      </c>
      <c r="D91" s="213" t="str">
        <f>IF(C91="-","-",INDEX('0. Control Panel'!$B$6:$K$16,MATCH('3. Product Benefit Input'!$C91,'0. Control Panel'!$B$6:$B$16,0),MATCH(D$6,'0. Control Panel'!$B$6:$K$6,0)))</f>
        <v>Finance</v>
      </c>
      <c r="E91" s="174"/>
      <c r="F91" s="214">
        <f>IFERROR(INDEX('1. FTE Allocations'!$A$5:$I$307,MATCH($A91,'1. FTE Allocations'!$A$5:$A$307,0),MATCH(F$4,'1. FTE Allocations'!$A$5:$I$5,0)),0)</f>
        <v>8.1</v>
      </c>
      <c r="H91" s="288">
        <v>0</v>
      </c>
      <c r="I91" s="289">
        <v>-1</v>
      </c>
      <c r="J91" s="290">
        <v>-2</v>
      </c>
      <c r="L91" s="215">
        <f>IFERROR(INDEX('1. FTE Allocations'!$A$5:$I$307,MATCH($A91,'1. FTE Allocations'!$A$5:$A$307,0),MATCH(L$4,'1. FTE Allocations'!$A$5:$I$5,0)),0)</f>
        <v>1</v>
      </c>
      <c r="M91" s="211"/>
      <c r="N91" s="294">
        <f t="shared" si="26"/>
        <v>1</v>
      </c>
      <c r="O91" s="297">
        <f t="shared" si="24"/>
        <v>1</v>
      </c>
      <c r="P91" s="298">
        <f t="shared" si="24"/>
        <v>1</v>
      </c>
      <c r="R91" s="112">
        <f t="shared" si="27"/>
        <v>50000</v>
      </c>
      <c r="T91" s="288">
        <v>50000</v>
      </c>
      <c r="U91" s="288">
        <v>50000</v>
      </c>
      <c r="V91" s="288">
        <v>50000</v>
      </c>
    </row>
    <row r="92" spans="1:22" x14ac:dyDescent="0.25">
      <c r="A92" s="35" t="str">
        <f t="shared" si="25"/>
        <v>Head OfficeP7</v>
      </c>
      <c r="C92" s="174">
        <f>IF(C91="-","-",IF(C91+1&gt;COUNTA('0. Control Panel'!$C$7:$C$16),"-",C91+1))</f>
        <v>8</v>
      </c>
      <c r="D92" s="213" t="str">
        <f>IF(C92="-","-",INDEX('0. Control Panel'!$B$6:$K$16,MATCH('3. Product Benefit Input'!$C92,'0. Control Panel'!$B$6:$B$16,0),MATCH(D$6,'0. Control Panel'!$B$6:$K$6,0)))</f>
        <v>Head Office</v>
      </c>
      <c r="E92" s="174"/>
      <c r="F92" s="214">
        <f>IFERROR(INDEX('1. FTE Allocations'!$A$5:$I$307,MATCH($A92,'1. FTE Allocations'!$A$5:$A$307,0),MATCH(F$4,'1. FTE Allocations'!$A$5:$I$5,0)),0)</f>
        <v>2.0249999999999999</v>
      </c>
      <c r="H92" s="288">
        <v>0</v>
      </c>
      <c r="I92" s="289">
        <v>0</v>
      </c>
      <c r="J92" s="290">
        <v>0</v>
      </c>
      <c r="L92" s="215">
        <f>IFERROR(INDEX('1. FTE Allocations'!$A$5:$I$307,MATCH($A92,'1. FTE Allocations'!$A$5:$A$307,0),MATCH(L$4,'1. FTE Allocations'!$A$5:$I$5,0)),0)</f>
        <v>1</v>
      </c>
      <c r="M92" s="211"/>
      <c r="N92" s="294">
        <f t="shared" si="26"/>
        <v>1</v>
      </c>
      <c r="O92" s="297">
        <f t="shared" si="24"/>
        <v>1</v>
      </c>
      <c r="P92" s="298">
        <f t="shared" si="24"/>
        <v>1</v>
      </c>
      <c r="R92" s="112">
        <f t="shared" si="27"/>
        <v>0</v>
      </c>
      <c r="T92" s="288">
        <v>0</v>
      </c>
      <c r="U92" s="289">
        <v>0</v>
      </c>
      <c r="V92" s="290">
        <v>0</v>
      </c>
    </row>
    <row r="93" spans="1:22" x14ac:dyDescent="0.25">
      <c r="A93" s="35" t="str">
        <f t="shared" si="25"/>
        <v>-P7</v>
      </c>
      <c r="C93" s="174" t="str">
        <f>IF(C92="-","-",IF(C92+1&gt;COUNTA('0. Control Panel'!$C$7:$C$16),"-",C92+1))</f>
        <v>-</v>
      </c>
      <c r="D93" s="213" t="str">
        <f>IF(C93="-","-",INDEX('0. Control Panel'!$B$6:$K$16,MATCH('3. Product Benefit Input'!$C93,'0. Control Panel'!$B$6:$B$16,0),MATCH(D$6,'0. Control Panel'!$B$6:$K$6,0)))</f>
        <v>-</v>
      </c>
      <c r="E93" s="174"/>
      <c r="F93" s="214">
        <f>IFERROR(INDEX('1. FTE Allocations'!$A$5:$I$307,MATCH($A93,'1. FTE Allocations'!$A$5:$A$307,0),MATCH(F$4,'1. FTE Allocations'!$A$5:$I$5,0)),0)</f>
        <v>0</v>
      </c>
      <c r="H93" s="288">
        <v>0</v>
      </c>
      <c r="I93" s="289">
        <v>0</v>
      </c>
      <c r="J93" s="290">
        <v>0</v>
      </c>
      <c r="L93" s="215">
        <f>IFERROR(INDEX('1. FTE Allocations'!$A$5:$I$307,MATCH($A93,'1. FTE Allocations'!$A$5:$A$307,0),MATCH(L$4,'1. FTE Allocations'!$A$5:$I$5,0)),0)</f>
        <v>0</v>
      </c>
      <c r="M93" s="211"/>
      <c r="N93" s="294">
        <f t="shared" si="26"/>
        <v>0</v>
      </c>
      <c r="O93" s="297">
        <f t="shared" si="24"/>
        <v>0</v>
      </c>
      <c r="P93" s="298">
        <f t="shared" si="24"/>
        <v>0</v>
      </c>
      <c r="R93" s="112">
        <f t="shared" si="27"/>
        <v>0</v>
      </c>
      <c r="T93" s="288">
        <v>0</v>
      </c>
      <c r="U93" s="289">
        <v>0</v>
      </c>
      <c r="V93" s="290">
        <v>0</v>
      </c>
    </row>
    <row r="94" spans="1:22" x14ac:dyDescent="0.25">
      <c r="A94" s="35" t="str">
        <f t="shared" si="25"/>
        <v>-P7</v>
      </c>
      <c r="C94" s="175" t="str">
        <f>IF(C93="-","-",IF(C93+1&gt;COUNTA('0. Control Panel'!$C$7:$C$16),"-",C93+1))</f>
        <v>-</v>
      </c>
      <c r="D94" s="176" t="str">
        <f>IF(C94="-","-",INDEX('0. Control Panel'!$B$6:$K$16,MATCH('3. Product Benefit Input'!$C94,'0. Control Panel'!$B$6:$B$16,0),MATCH(D$6,'0. Control Panel'!$B$6:$K$6,0)))</f>
        <v>-</v>
      </c>
      <c r="E94" s="175"/>
      <c r="F94" s="216">
        <f>IFERROR(INDEX('1. FTE Allocations'!$A$5:$I$307,MATCH($A94,'1. FTE Allocations'!$A$5:$A$307,0),MATCH(F$4,'1. FTE Allocations'!$A$5:$I$5,0)),0)</f>
        <v>0</v>
      </c>
      <c r="H94" s="291">
        <v>0</v>
      </c>
      <c r="I94" s="292">
        <v>0</v>
      </c>
      <c r="J94" s="293">
        <v>0</v>
      </c>
      <c r="L94" s="217">
        <f>IFERROR(INDEX('1. FTE Allocations'!$A$5:$I$307,MATCH($A94,'1. FTE Allocations'!$A$5:$A$307,0),MATCH(L$4,'1. FTE Allocations'!$A$5:$I$5,0)),0)</f>
        <v>0</v>
      </c>
      <c r="M94" s="211"/>
      <c r="N94" s="299">
        <f t="shared" si="26"/>
        <v>0</v>
      </c>
      <c r="O94" s="300">
        <f t="shared" si="24"/>
        <v>0</v>
      </c>
      <c r="P94" s="301">
        <f t="shared" si="24"/>
        <v>0</v>
      </c>
      <c r="R94" s="112">
        <f t="shared" si="27"/>
        <v>0</v>
      </c>
      <c r="T94" s="291">
        <v>0</v>
      </c>
      <c r="U94" s="292">
        <v>0</v>
      </c>
      <c r="V94" s="293">
        <v>0</v>
      </c>
    </row>
    <row r="95" spans="1:22" x14ac:dyDescent="0.25">
      <c r="D95" s="314" t="s">
        <v>72</v>
      </c>
      <c r="F95" s="315">
        <f>SUM(F85:F94)</f>
        <v>19.574999999999999</v>
      </c>
      <c r="G95" s="35"/>
      <c r="R95" s="316">
        <f>SUM(R85:R94)</f>
        <v>50000</v>
      </c>
    </row>
    <row r="96" spans="1:22" ht="9.9499999999999993" customHeight="1" x14ac:dyDescent="0.25">
      <c r="F96" s="313"/>
      <c r="G96" s="35"/>
      <c r="R96" s="164"/>
    </row>
    <row r="97" spans="1:22" ht="15.95" customHeight="1" x14ac:dyDescent="0.25">
      <c r="C97" s="187" t="s">
        <v>29</v>
      </c>
      <c r="D97" s="203" t="str">
        <f>IF(INDEX('0. Control Panel'!$B$31:$C$41,MATCH('3. Product Benefit Input'!$C97,'0. Control Panel'!$B$31:$B$41,0),2)="","n/a",INDEX('0. Control Panel'!$B$31:$C$41,MATCH('3. Product Benefit Input'!$C97,'0. Control Panel'!$B$31:$B$41,0),2))</f>
        <v>n/a</v>
      </c>
      <c r="F97" s="218"/>
      <c r="G97" s="35"/>
      <c r="H97" s="35"/>
      <c r="I97" s="35"/>
      <c r="J97" s="35"/>
      <c r="K97" s="35"/>
      <c r="L97" s="35"/>
      <c r="M97" s="35"/>
      <c r="N97" s="35"/>
      <c r="O97" s="35"/>
      <c r="P97" s="35"/>
      <c r="Q97" s="35"/>
      <c r="R97" s="35"/>
      <c r="S97" s="35"/>
      <c r="T97" s="35"/>
      <c r="U97" s="35"/>
      <c r="V97" s="35"/>
    </row>
    <row r="98" spans="1:22" x14ac:dyDescent="0.25">
      <c r="A98" s="35" t="str">
        <f>D98&amp;$C$97</f>
        <v>ITP8</v>
      </c>
      <c r="C98" s="174">
        <f>IF(C95="-","-",IF(C95+1&gt;COUNTA('0. Control Panel'!$C$7:$C$16),"-",C95+1))</f>
        <v>1</v>
      </c>
      <c r="D98" s="171" t="str">
        <f>IF(C98="-","-",INDEX('0. Control Panel'!$B$6:$K$16,MATCH('3. Product Benefit Input'!$C98,'0. Control Panel'!$B$6:$B$16,0),MATCH(D$6,'0. Control Panel'!$B$6:$K$6,0)))</f>
        <v>IT</v>
      </c>
      <c r="E98" s="170"/>
      <c r="F98" s="209">
        <f>IFERROR(INDEX('1. FTE Allocations'!$A$5:$I$307,MATCH($A98,'1. FTE Allocations'!$A$5:$A$307,0),MATCH(F$4,'1. FTE Allocations'!$A$5:$I$5,0)),0)</f>
        <v>0</v>
      </c>
      <c r="H98" s="285">
        <v>0</v>
      </c>
      <c r="I98" s="286">
        <v>0</v>
      </c>
      <c r="J98" s="287">
        <v>0</v>
      </c>
      <c r="L98" s="210">
        <f>IFERROR(INDEX('1. FTE Allocations'!$A$5:$I$307,MATCH($A98,'1. FTE Allocations'!$A$5:$A$307,0),MATCH(L$4,'1. FTE Allocations'!$A$5:$I$5,0)),0)</f>
        <v>0</v>
      </c>
      <c r="M98" s="211"/>
      <c r="N98" s="302">
        <f>$L98</f>
        <v>0</v>
      </c>
      <c r="O98" s="295">
        <f t="shared" ref="O98:P107" si="28">$L98</f>
        <v>0</v>
      </c>
      <c r="P98" s="296">
        <f t="shared" si="28"/>
        <v>0</v>
      </c>
      <c r="R98" s="112">
        <f>AVERAGE(T98:V98)</f>
        <v>0</v>
      </c>
      <c r="T98" s="285">
        <v>0</v>
      </c>
      <c r="U98" s="286">
        <v>0</v>
      </c>
      <c r="V98" s="287">
        <v>0</v>
      </c>
    </row>
    <row r="99" spans="1:22" x14ac:dyDescent="0.25">
      <c r="A99" s="35" t="str">
        <f t="shared" ref="A99:A107" si="29">D99&amp;$C$97</f>
        <v>SalesP8</v>
      </c>
      <c r="C99" s="174">
        <f>IF(C98="-","-",IF(C98+1&gt;COUNTA('0. Control Panel'!$C$7:$C$16),"-",C98+1))</f>
        <v>2</v>
      </c>
      <c r="D99" s="213" t="str">
        <f>IF(C99="-","-",INDEX('0. Control Panel'!$B$6:$K$16,MATCH('3. Product Benefit Input'!$C99,'0. Control Panel'!$B$6:$B$16,0),MATCH(D$6,'0. Control Panel'!$B$6:$K$6,0)))</f>
        <v>Sales</v>
      </c>
      <c r="E99" s="174"/>
      <c r="F99" s="214">
        <f>IFERROR(INDEX('1. FTE Allocations'!$A$5:$I$307,MATCH($A99,'1. FTE Allocations'!$A$5:$A$307,0),MATCH(F$4,'1. FTE Allocations'!$A$5:$I$5,0)),0)</f>
        <v>0</v>
      </c>
      <c r="H99" s="288">
        <v>0</v>
      </c>
      <c r="I99" s="289">
        <v>0</v>
      </c>
      <c r="J99" s="290">
        <v>0</v>
      </c>
      <c r="L99" s="215">
        <f>IFERROR(INDEX('1. FTE Allocations'!$A$5:$I$307,MATCH($A99,'1. FTE Allocations'!$A$5:$A$307,0),MATCH(L$4,'1. FTE Allocations'!$A$5:$I$5,0)),0)</f>
        <v>0</v>
      </c>
      <c r="M99" s="211"/>
      <c r="N99" s="294">
        <f t="shared" ref="N99:N107" si="30">$L99</f>
        <v>0</v>
      </c>
      <c r="O99" s="297">
        <f t="shared" si="28"/>
        <v>0</v>
      </c>
      <c r="P99" s="298">
        <f t="shared" si="28"/>
        <v>0</v>
      </c>
      <c r="R99" s="112">
        <f t="shared" ref="R99:R107" si="31">AVERAGE(T99:V99)</f>
        <v>0</v>
      </c>
      <c r="T99" s="288">
        <v>0</v>
      </c>
      <c r="U99" s="289">
        <v>0</v>
      </c>
      <c r="V99" s="290">
        <v>0</v>
      </c>
    </row>
    <row r="100" spans="1:22" x14ac:dyDescent="0.25">
      <c r="A100" s="35" t="str">
        <f t="shared" si="29"/>
        <v>Product AP8</v>
      </c>
      <c r="C100" s="174">
        <f>IF(C99="-","-",IF(C99+1&gt;COUNTA('0. Control Panel'!$C$7:$C$16),"-",C99+1))</f>
        <v>3</v>
      </c>
      <c r="D100" s="213" t="str">
        <f>IF(C100="-","-",INDEX('0. Control Panel'!$B$6:$K$16,MATCH('3. Product Benefit Input'!$C100,'0. Control Panel'!$B$6:$B$16,0),MATCH(D$6,'0. Control Panel'!$B$6:$K$6,0)))</f>
        <v>Product A</v>
      </c>
      <c r="E100" s="174"/>
      <c r="F100" s="214">
        <f>IFERROR(INDEX('1. FTE Allocations'!$A$5:$I$307,MATCH($A100,'1. FTE Allocations'!$A$5:$A$307,0),MATCH(F$4,'1. FTE Allocations'!$A$5:$I$5,0)),0)</f>
        <v>0</v>
      </c>
      <c r="H100" s="288">
        <v>0</v>
      </c>
      <c r="I100" s="289">
        <v>0</v>
      </c>
      <c r="J100" s="290">
        <v>0</v>
      </c>
      <c r="L100" s="215">
        <f>IFERROR(INDEX('1. FTE Allocations'!$A$5:$I$307,MATCH($A100,'1. FTE Allocations'!$A$5:$A$307,0),MATCH(L$4,'1. FTE Allocations'!$A$5:$I$5,0)),0)</f>
        <v>0</v>
      </c>
      <c r="M100" s="211"/>
      <c r="N100" s="294">
        <f t="shared" si="30"/>
        <v>0</v>
      </c>
      <c r="O100" s="297">
        <f t="shared" si="28"/>
        <v>0</v>
      </c>
      <c r="P100" s="298">
        <f t="shared" si="28"/>
        <v>0</v>
      </c>
      <c r="R100" s="112">
        <f t="shared" si="31"/>
        <v>0</v>
      </c>
      <c r="T100" s="288">
        <v>0</v>
      </c>
      <c r="U100" s="289">
        <v>0</v>
      </c>
      <c r="V100" s="290">
        <v>0</v>
      </c>
    </row>
    <row r="101" spans="1:22" x14ac:dyDescent="0.25">
      <c r="A101" s="35" t="str">
        <f t="shared" si="29"/>
        <v>Product BP8</v>
      </c>
      <c r="C101" s="174">
        <f>IF(C100="-","-",IF(C100+1&gt;COUNTA('0. Control Panel'!$C$7:$C$16),"-",C100+1))</f>
        <v>4</v>
      </c>
      <c r="D101" s="213" t="str">
        <f>IF(C101="-","-",INDEX('0. Control Panel'!$B$6:$K$16,MATCH('3. Product Benefit Input'!$C101,'0. Control Panel'!$B$6:$B$16,0),MATCH(D$6,'0. Control Panel'!$B$6:$K$6,0)))</f>
        <v>Product B</v>
      </c>
      <c r="E101" s="174"/>
      <c r="F101" s="214">
        <f>IFERROR(INDEX('1. FTE Allocations'!$A$5:$I$307,MATCH($A101,'1. FTE Allocations'!$A$5:$A$307,0),MATCH(F$4,'1. FTE Allocations'!$A$5:$I$5,0)),0)</f>
        <v>0</v>
      </c>
      <c r="H101" s="288">
        <v>0</v>
      </c>
      <c r="I101" s="289">
        <v>0</v>
      </c>
      <c r="J101" s="290">
        <v>0</v>
      </c>
      <c r="L101" s="215">
        <f>IFERROR(INDEX('1. FTE Allocations'!$A$5:$I$307,MATCH($A101,'1. FTE Allocations'!$A$5:$A$307,0),MATCH(L$4,'1. FTE Allocations'!$A$5:$I$5,0)),0)</f>
        <v>0</v>
      </c>
      <c r="M101" s="211"/>
      <c r="N101" s="294">
        <f t="shared" si="30"/>
        <v>0</v>
      </c>
      <c r="O101" s="297">
        <f t="shared" si="28"/>
        <v>0</v>
      </c>
      <c r="P101" s="298">
        <f t="shared" si="28"/>
        <v>0</v>
      </c>
      <c r="R101" s="112">
        <f t="shared" si="31"/>
        <v>0</v>
      </c>
      <c r="T101" s="288">
        <v>0</v>
      </c>
      <c r="U101" s="289">
        <v>0</v>
      </c>
      <c r="V101" s="290">
        <v>0</v>
      </c>
    </row>
    <row r="102" spans="1:22" x14ac:dyDescent="0.25">
      <c r="A102" s="35" t="str">
        <f t="shared" si="29"/>
        <v>R&amp;DP8</v>
      </c>
      <c r="C102" s="174">
        <f>IF(C101="-","-",IF(C101+1&gt;COUNTA('0. Control Panel'!$C$7:$C$16),"-",C101+1))</f>
        <v>5</v>
      </c>
      <c r="D102" s="213" t="str">
        <f>IF(C102="-","-",INDEX('0. Control Panel'!$B$6:$K$16,MATCH('3. Product Benefit Input'!$C102,'0. Control Panel'!$B$6:$B$16,0),MATCH(D$6,'0. Control Panel'!$B$6:$K$6,0)))</f>
        <v>R&amp;D</v>
      </c>
      <c r="E102" s="174"/>
      <c r="F102" s="214">
        <f>IFERROR(INDEX('1. FTE Allocations'!$A$5:$I$307,MATCH($A102,'1. FTE Allocations'!$A$5:$A$307,0),MATCH(F$4,'1. FTE Allocations'!$A$5:$I$5,0)),0)</f>
        <v>0</v>
      </c>
      <c r="H102" s="288">
        <v>0</v>
      </c>
      <c r="I102" s="289">
        <v>0</v>
      </c>
      <c r="J102" s="290">
        <v>0</v>
      </c>
      <c r="L102" s="215">
        <f>IFERROR(INDEX('1. FTE Allocations'!$A$5:$I$307,MATCH($A102,'1. FTE Allocations'!$A$5:$A$307,0),MATCH(L$4,'1. FTE Allocations'!$A$5:$I$5,0)),0)</f>
        <v>0</v>
      </c>
      <c r="M102" s="211"/>
      <c r="N102" s="294">
        <f t="shared" si="30"/>
        <v>0</v>
      </c>
      <c r="O102" s="297">
        <f t="shared" si="28"/>
        <v>0</v>
      </c>
      <c r="P102" s="298">
        <f t="shared" si="28"/>
        <v>0</v>
      </c>
      <c r="R102" s="112">
        <f t="shared" si="31"/>
        <v>0</v>
      </c>
      <c r="T102" s="288">
        <v>0</v>
      </c>
      <c r="U102" s="289">
        <v>0</v>
      </c>
      <c r="V102" s="290">
        <v>0</v>
      </c>
    </row>
    <row r="103" spans="1:22" x14ac:dyDescent="0.25">
      <c r="A103" s="35" t="str">
        <f t="shared" si="29"/>
        <v>HRP8</v>
      </c>
      <c r="C103" s="174">
        <f>IF(C102="-","-",IF(C102+1&gt;COUNTA('0. Control Panel'!$C$7:$C$16),"-",C102+1))</f>
        <v>6</v>
      </c>
      <c r="D103" s="213" t="str">
        <f>IF(C103="-","-",INDEX('0. Control Panel'!$B$6:$K$16,MATCH('3. Product Benefit Input'!$C103,'0. Control Panel'!$B$6:$B$16,0),MATCH(D$6,'0. Control Panel'!$B$6:$K$6,0)))</f>
        <v>HR</v>
      </c>
      <c r="E103" s="174"/>
      <c r="F103" s="214">
        <f>IFERROR(INDEX('1. FTE Allocations'!$A$5:$I$307,MATCH($A103,'1. FTE Allocations'!$A$5:$A$307,0),MATCH(F$4,'1. FTE Allocations'!$A$5:$I$5,0)),0)</f>
        <v>0</v>
      </c>
      <c r="H103" s="288">
        <v>0</v>
      </c>
      <c r="I103" s="289">
        <v>0</v>
      </c>
      <c r="J103" s="290">
        <v>0</v>
      </c>
      <c r="L103" s="215">
        <f>IFERROR(INDEX('1. FTE Allocations'!$A$5:$I$307,MATCH($A103,'1. FTE Allocations'!$A$5:$A$307,0),MATCH(L$4,'1. FTE Allocations'!$A$5:$I$5,0)),0)</f>
        <v>0</v>
      </c>
      <c r="M103" s="211"/>
      <c r="N103" s="294">
        <f t="shared" si="30"/>
        <v>0</v>
      </c>
      <c r="O103" s="297">
        <f t="shared" si="28"/>
        <v>0</v>
      </c>
      <c r="P103" s="298">
        <f t="shared" si="28"/>
        <v>0</v>
      </c>
      <c r="R103" s="112">
        <f t="shared" si="31"/>
        <v>0</v>
      </c>
      <c r="T103" s="288">
        <v>0</v>
      </c>
      <c r="U103" s="289">
        <v>0</v>
      </c>
      <c r="V103" s="290">
        <v>0</v>
      </c>
    </row>
    <row r="104" spans="1:22" x14ac:dyDescent="0.25">
      <c r="A104" s="35" t="str">
        <f t="shared" si="29"/>
        <v>FinanceP8</v>
      </c>
      <c r="C104" s="174">
        <f>IF(C103="-","-",IF(C103+1&gt;COUNTA('0. Control Panel'!$C$7:$C$16),"-",C103+1))</f>
        <v>7</v>
      </c>
      <c r="D104" s="213" t="str">
        <f>IF(C104="-","-",INDEX('0. Control Panel'!$B$6:$K$16,MATCH('3. Product Benefit Input'!$C104,'0. Control Panel'!$B$6:$B$16,0),MATCH(D$6,'0. Control Panel'!$B$6:$K$6,0)))</f>
        <v>Finance</v>
      </c>
      <c r="E104" s="174"/>
      <c r="F104" s="214">
        <f>IFERROR(INDEX('1. FTE Allocations'!$A$5:$I$307,MATCH($A104,'1. FTE Allocations'!$A$5:$A$307,0),MATCH(F$4,'1. FTE Allocations'!$A$5:$I$5,0)),0)</f>
        <v>0</v>
      </c>
      <c r="H104" s="288">
        <v>0</v>
      </c>
      <c r="I104" s="289">
        <v>0</v>
      </c>
      <c r="J104" s="290">
        <v>0</v>
      </c>
      <c r="L104" s="215">
        <f>IFERROR(INDEX('1. FTE Allocations'!$A$5:$I$307,MATCH($A104,'1. FTE Allocations'!$A$5:$A$307,0),MATCH(L$4,'1. FTE Allocations'!$A$5:$I$5,0)),0)</f>
        <v>0</v>
      </c>
      <c r="M104" s="211"/>
      <c r="N104" s="294">
        <f t="shared" si="30"/>
        <v>0</v>
      </c>
      <c r="O104" s="297">
        <f t="shared" si="28"/>
        <v>0</v>
      </c>
      <c r="P104" s="298">
        <f t="shared" si="28"/>
        <v>0</v>
      </c>
      <c r="R104" s="112">
        <f t="shared" si="31"/>
        <v>0</v>
      </c>
      <c r="T104" s="288">
        <v>0</v>
      </c>
      <c r="U104" s="289">
        <v>0</v>
      </c>
      <c r="V104" s="290">
        <v>0</v>
      </c>
    </row>
    <row r="105" spans="1:22" x14ac:dyDescent="0.25">
      <c r="A105" s="35" t="str">
        <f t="shared" si="29"/>
        <v>Head OfficeP8</v>
      </c>
      <c r="C105" s="174">
        <f>IF(C104="-","-",IF(C104+1&gt;COUNTA('0. Control Panel'!$C$7:$C$16),"-",C104+1))</f>
        <v>8</v>
      </c>
      <c r="D105" s="213" t="str">
        <f>IF(C105="-","-",INDEX('0. Control Panel'!$B$6:$K$16,MATCH('3. Product Benefit Input'!$C105,'0. Control Panel'!$B$6:$B$16,0),MATCH(D$6,'0. Control Panel'!$B$6:$K$6,0)))</f>
        <v>Head Office</v>
      </c>
      <c r="E105" s="174"/>
      <c r="F105" s="214">
        <f>IFERROR(INDEX('1. FTE Allocations'!$A$5:$I$307,MATCH($A105,'1. FTE Allocations'!$A$5:$A$307,0),MATCH(F$4,'1. FTE Allocations'!$A$5:$I$5,0)),0)</f>
        <v>0</v>
      </c>
      <c r="H105" s="288">
        <v>0</v>
      </c>
      <c r="I105" s="289">
        <v>0</v>
      </c>
      <c r="J105" s="290">
        <v>0</v>
      </c>
      <c r="L105" s="215">
        <f>IFERROR(INDEX('1. FTE Allocations'!$A$5:$I$307,MATCH($A105,'1. FTE Allocations'!$A$5:$A$307,0),MATCH(L$4,'1. FTE Allocations'!$A$5:$I$5,0)),0)</f>
        <v>0</v>
      </c>
      <c r="M105" s="211"/>
      <c r="N105" s="294">
        <f t="shared" si="30"/>
        <v>0</v>
      </c>
      <c r="O105" s="297">
        <f t="shared" si="28"/>
        <v>0</v>
      </c>
      <c r="P105" s="298">
        <f t="shared" si="28"/>
        <v>0</v>
      </c>
      <c r="R105" s="112">
        <f t="shared" si="31"/>
        <v>0</v>
      </c>
      <c r="T105" s="288">
        <v>0</v>
      </c>
      <c r="U105" s="289">
        <v>0</v>
      </c>
      <c r="V105" s="290">
        <v>0</v>
      </c>
    </row>
    <row r="106" spans="1:22" x14ac:dyDescent="0.25">
      <c r="A106" s="35" t="str">
        <f t="shared" si="29"/>
        <v>-P8</v>
      </c>
      <c r="C106" s="174" t="str">
        <f>IF(C105="-","-",IF(C105+1&gt;COUNTA('0. Control Panel'!$C$7:$C$16),"-",C105+1))</f>
        <v>-</v>
      </c>
      <c r="D106" s="213" t="str">
        <f>IF(C106="-","-",INDEX('0. Control Panel'!$B$6:$K$16,MATCH('3. Product Benefit Input'!$C106,'0. Control Panel'!$B$6:$B$16,0),MATCH(D$6,'0. Control Panel'!$B$6:$K$6,0)))</f>
        <v>-</v>
      </c>
      <c r="E106" s="174"/>
      <c r="F106" s="214">
        <f>IFERROR(INDEX('1. FTE Allocations'!$A$5:$I$307,MATCH($A106,'1. FTE Allocations'!$A$5:$A$307,0),MATCH(F$4,'1. FTE Allocations'!$A$5:$I$5,0)),0)</f>
        <v>0</v>
      </c>
      <c r="H106" s="288">
        <v>0</v>
      </c>
      <c r="I106" s="289">
        <v>0</v>
      </c>
      <c r="J106" s="290">
        <v>0</v>
      </c>
      <c r="L106" s="215">
        <f>IFERROR(INDEX('1. FTE Allocations'!$A$5:$I$307,MATCH($A106,'1. FTE Allocations'!$A$5:$A$307,0),MATCH(L$4,'1. FTE Allocations'!$A$5:$I$5,0)),0)</f>
        <v>0</v>
      </c>
      <c r="M106" s="211"/>
      <c r="N106" s="294">
        <f t="shared" si="30"/>
        <v>0</v>
      </c>
      <c r="O106" s="297">
        <f t="shared" si="28"/>
        <v>0</v>
      </c>
      <c r="P106" s="298">
        <f t="shared" si="28"/>
        <v>0</v>
      </c>
      <c r="R106" s="112">
        <f t="shared" si="31"/>
        <v>0</v>
      </c>
      <c r="T106" s="288">
        <v>0</v>
      </c>
      <c r="U106" s="289">
        <v>0</v>
      </c>
      <c r="V106" s="290">
        <v>0</v>
      </c>
    </row>
    <row r="107" spans="1:22" x14ac:dyDescent="0.25">
      <c r="A107" s="35" t="str">
        <f t="shared" si="29"/>
        <v>-P8</v>
      </c>
      <c r="C107" s="175" t="str">
        <f>IF(C106="-","-",IF(C106+1&gt;COUNTA('0. Control Panel'!$C$7:$C$16),"-",C106+1))</f>
        <v>-</v>
      </c>
      <c r="D107" s="176" t="str">
        <f>IF(C107="-","-",INDEX('0. Control Panel'!$B$6:$K$16,MATCH('3. Product Benefit Input'!$C107,'0. Control Panel'!$B$6:$B$16,0),MATCH(D$6,'0. Control Panel'!$B$6:$K$6,0)))</f>
        <v>-</v>
      </c>
      <c r="E107" s="175"/>
      <c r="F107" s="216">
        <f>IFERROR(INDEX('1. FTE Allocations'!$A$5:$I$307,MATCH($A107,'1. FTE Allocations'!$A$5:$A$307,0),MATCH(F$4,'1. FTE Allocations'!$A$5:$I$5,0)),0)</f>
        <v>0</v>
      </c>
      <c r="H107" s="291">
        <v>0</v>
      </c>
      <c r="I107" s="292">
        <v>0</v>
      </c>
      <c r="J107" s="293">
        <v>0</v>
      </c>
      <c r="L107" s="217">
        <f>IFERROR(INDEX('1. FTE Allocations'!$A$5:$I$307,MATCH($A107,'1. FTE Allocations'!$A$5:$A$307,0),MATCH(L$4,'1. FTE Allocations'!$A$5:$I$5,0)),0)</f>
        <v>0</v>
      </c>
      <c r="M107" s="211"/>
      <c r="N107" s="299">
        <f t="shared" si="30"/>
        <v>0</v>
      </c>
      <c r="O107" s="300">
        <f t="shared" si="28"/>
        <v>0</v>
      </c>
      <c r="P107" s="301">
        <f t="shared" si="28"/>
        <v>0</v>
      </c>
      <c r="R107" s="112">
        <f t="shared" si="31"/>
        <v>0</v>
      </c>
      <c r="T107" s="291">
        <v>0</v>
      </c>
      <c r="U107" s="292">
        <v>0</v>
      </c>
      <c r="V107" s="293">
        <v>0</v>
      </c>
    </row>
    <row r="108" spans="1:22" x14ac:dyDescent="0.25">
      <c r="D108" s="314" t="s">
        <v>72</v>
      </c>
      <c r="F108" s="315">
        <f>SUM(F98:F107)</f>
        <v>0</v>
      </c>
      <c r="G108" s="35"/>
      <c r="R108" s="316">
        <f>SUM(R98:R107)</f>
        <v>0</v>
      </c>
    </row>
    <row r="109" spans="1:22" ht="9.9499999999999993" customHeight="1" x14ac:dyDescent="0.25">
      <c r="F109" s="313"/>
      <c r="G109" s="35"/>
      <c r="R109" s="164"/>
    </row>
    <row r="110" spans="1:22" ht="15.95" customHeight="1" x14ac:dyDescent="0.25">
      <c r="C110" s="187" t="s">
        <v>30</v>
      </c>
      <c r="D110" s="203" t="str">
        <f>IF(INDEX('0. Control Panel'!$B$31:$C$41,MATCH('3. Product Benefit Input'!$C110,'0. Control Panel'!$B$31:$B$41,0),2)="","n/a",INDEX('0. Control Panel'!$B$31:$C$41,MATCH('3. Product Benefit Input'!$C110,'0. Control Panel'!$B$31:$B$41,0),2))</f>
        <v>n/a</v>
      </c>
      <c r="F110" s="218"/>
      <c r="G110" s="35"/>
      <c r="H110" s="35"/>
      <c r="I110" s="35"/>
      <c r="J110" s="35"/>
      <c r="K110" s="35"/>
      <c r="L110" s="35"/>
      <c r="M110" s="35"/>
      <c r="N110" s="35"/>
      <c r="O110" s="35"/>
      <c r="P110" s="35"/>
      <c r="Q110" s="35"/>
      <c r="R110" s="35"/>
      <c r="S110" s="35"/>
      <c r="T110" s="35"/>
      <c r="U110" s="35"/>
      <c r="V110" s="35"/>
    </row>
    <row r="111" spans="1:22" x14ac:dyDescent="0.25">
      <c r="A111" s="35" t="str">
        <f>D111&amp;$C$110</f>
        <v>ITP9</v>
      </c>
      <c r="C111" s="174">
        <f>IF(C108="-","-",IF(C108+1&gt;COUNTA('0. Control Panel'!$C$7:$C$16),"-",C108+1))</f>
        <v>1</v>
      </c>
      <c r="D111" s="171" t="str">
        <f>IF(C111="-","-",INDEX('0. Control Panel'!$B$6:$K$16,MATCH('3. Product Benefit Input'!$C111,'0. Control Panel'!$B$6:$B$16,0),MATCH(D$6,'0. Control Panel'!$B$6:$K$6,0)))</f>
        <v>IT</v>
      </c>
      <c r="E111" s="170"/>
      <c r="F111" s="209">
        <f>IFERROR(INDEX('1. FTE Allocations'!$A$5:$I$307,MATCH($A111,'1. FTE Allocations'!$A$5:$A$307,0),MATCH(F$4,'1. FTE Allocations'!$A$5:$I$5,0)),0)</f>
        <v>0</v>
      </c>
      <c r="H111" s="285">
        <v>0</v>
      </c>
      <c r="I111" s="286">
        <v>0</v>
      </c>
      <c r="J111" s="287">
        <v>0</v>
      </c>
      <c r="L111" s="210">
        <f>IFERROR(INDEX('1. FTE Allocations'!$A$5:$I$307,MATCH($A111,'1. FTE Allocations'!$A$5:$A$307,0),MATCH(L$4,'1. FTE Allocations'!$A$5:$I$5,0)),0)</f>
        <v>0</v>
      </c>
      <c r="M111" s="211"/>
      <c r="N111" s="302">
        <f>$L111</f>
        <v>0</v>
      </c>
      <c r="O111" s="295">
        <f t="shared" ref="O111:P120" si="32">$L111</f>
        <v>0</v>
      </c>
      <c r="P111" s="296">
        <f t="shared" si="32"/>
        <v>0</v>
      </c>
      <c r="R111" s="112">
        <f>AVERAGE(T111:V111)</f>
        <v>0</v>
      </c>
      <c r="T111" s="285">
        <v>0</v>
      </c>
      <c r="U111" s="286">
        <v>0</v>
      </c>
      <c r="V111" s="287">
        <v>0</v>
      </c>
    </row>
    <row r="112" spans="1:22" x14ac:dyDescent="0.25">
      <c r="A112" s="35" t="str">
        <f t="shared" ref="A112:A120" si="33">D112&amp;$C$110</f>
        <v>SalesP9</v>
      </c>
      <c r="C112" s="174">
        <f>IF(C111="-","-",IF(C111+1&gt;COUNTA('0. Control Panel'!$C$7:$C$16),"-",C111+1))</f>
        <v>2</v>
      </c>
      <c r="D112" s="213" t="str">
        <f>IF(C112="-","-",INDEX('0. Control Panel'!$B$6:$K$16,MATCH('3. Product Benefit Input'!$C112,'0. Control Panel'!$B$6:$B$16,0),MATCH(D$6,'0. Control Panel'!$B$6:$K$6,0)))</f>
        <v>Sales</v>
      </c>
      <c r="E112" s="174"/>
      <c r="F112" s="214">
        <f>IFERROR(INDEX('1. FTE Allocations'!$A$5:$I$307,MATCH($A112,'1. FTE Allocations'!$A$5:$A$307,0),MATCH(F$4,'1. FTE Allocations'!$A$5:$I$5,0)),0)</f>
        <v>0</v>
      </c>
      <c r="H112" s="288">
        <v>0</v>
      </c>
      <c r="I112" s="289">
        <v>0</v>
      </c>
      <c r="J112" s="290">
        <v>0</v>
      </c>
      <c r="L112" s="215">
        <f>IFERROR(INDEX('1. FTE Allocations'!$A$5:$I$307,MATCH($A112,'1. FTE Allocations'!$A$5:$A$307,0),MATCH(L$4,'1. FTE Allocations'!$A$5:$I$5,0)),0)</f>
        <v>0</v>
      </c>
      <c r="M112" s="211"/>
      <c r="N112" s="294">
        <f t="shared" ref="N112:N120" si="34">$L112</f>
        <v>0</v>
      </c>
      <c r="O112" s="297">
        <f t="shared" si="32"/>
        <v>0</v>
      </c>
      <c r="P112" s="298">
        <f t="shared" si="32"/>
        <v>0</v>
      </c>
      <c r="R112" s="112">
        <f t="shared" ref="R112:R120" si="35">AVERAGE(T112:V112)</f>
        <v>0</v>
      </c>
      <c r="T112" s="288">
        <v>0</v>
      </c>
      <c r="U112" s="289">
        <v>0</v>
      </c>
      <c r="V112" s="290">
        <v>0</v>
      </c>
    </row>
    <row r="113" spans="1:22" x14ac:dyDescent="0.25">
      <c r="A113" s="35" t="str">
        <f t="shared" si="33"/>
        <v>Product AP9</v>
      </c>
      <c r="C113" s="174">
        <f>IF(C112="-","-",IF(C112+1&gt;COUNTA('0. Control Panel'!$C$7:$C$16),"-",C112+1))</f>
        <v>3</v>
      </c>
      <c r="D113" s="213" t="str">
        <f>IF(C113="-","-",INDEX('0. Control Panel'!$B$6:$K$16,MATCH('3. Product Benefit Input'!$C113,'0. Control Panel'!$B$6:$B$16,0),MATCH(D$6,'0. Control Panel'!$B$6:$K$6,0)))</f>
        <v>Product A</v>
      </c>
      <c r="E113" s="174"/>
      <c r="F113" s="214">
        <f>IFERROR(INDEX('1. FTE Allocations'!$A$5:$I$307,MATCH($A113,'1. FTE Allocations'!$A$5:$A$307,0),MATCH(F$4,'1. FTE Allocations'!$A$5:$I$5,0)),0)</f>
        <v>0</v>
      </c>
      <c r="H113" s="288">
        <v>0</v>
      </c>
      <c r="I113" s="289">
        <v>0</v>
      </c>
      <c r="J113" s="290">
        <v>0</v>
      </c>
      <c r="L113" s="215">
        <f>IFERROR(INDEX('1. FTE Allocations'!$A$5:$I$307,MATCH($A113,'1. FTE Allocations'!$A$5:$A$307,0),MATCH(L$4,'1. FTE Allocations'!$A$5:$I$5,0)),0)</f>
        <v>0</v>
      </c>
      <c r="M113" s="211"/>
      <c r="N113" s="294">
        <f t="shared" si="34"/>
        <v>0</v>
      </c>
      <c r="O113" s="297">
        <f t="shared" si="32"/>
        <v>0</v>
      </c>
      <c r="P113" s="298">
        <f t="shared" si="32"/>
        <v>0</v>
      </c>
      <c r="R113" s="112">
        <f t="shared" si="35"/>
        <v>0</v>
      </c>
      <c r="T113" s="288">
        <v>0</v>
      </c>
      <c r="U113" s="289">
        <v>0</v>
      </c>
      <c r="V113" s="290">
        <v>0</v>
      </c>
    </row>
    <row r="114" spans="1:22" x14ac:dyDescent="0.25">
      <c r="A114" s="35" t="str">
        <f t="shared" si="33"/>
        <v>Product BP9</v>
      </c>
      <c r="C114" s="174">
        <f>IF(C113="-","-",IF(C113+1&gt;COUNTA('0. Control Panel'!$C$7:$C$16),"-",C113+1))</f>
        <v>4</v>
      </c>
      <c r="D114" s="213" t="str">
        <f>IF(C114="-","-",INDEX('0. Control Panel'!$B$6:$K$16,MATCH('3. Product Benefit Input'!$C114,'0. Control Panel'!$B$6:$B$16,0),MATCH(D$6,'0. Control Panel'!$B$6:$K$6,0)))</f>
        <v>Product B</v>
      </c>
      <c r="E114" s="174"/>
      <c r="F114" s="214">
        <f>IFERROR(INDEX('1. FTE Allocations'!$A$5:$I$307,MATCH($A114,'1. FTE Allocations'!$A$5:$A$307,0),MATCH(F$4,'1. FTE Allocations'!$A$5:$I$5,0)),0)</f>
        <v>0</v>
      </c>
      <c r="H114" s="288">
        <v>0</v>
      </c>
      <c r="I114" s="289">
        <v>0</v>
      </c>
      <c r="J114" s="290">
        <v>0</v>
      </c>
      <c r="L114" s="215">
        <f>IFERROR(INDEX('1. FTE Allocations'!$A$5:$I$307,MATCH($A114,'1. FTE Allocations'!$A$5:$A$307,0),MATCH(L$4,'1. FTE Allocations'!$A$5:$I$5,0)),0)</f>
        <v>0</v>
      </c>
      <c r="M114" s="211"/>
      <c r="N114" s="294">
        <f t="shared" si="34"/>
        <v>0</v>
      </c>
      <c r="O114" s="297">
        <f t="shared" si="32"/>
        <v>0</v>
      </c>
      <c r="P114" s="298">
        <f t="shared" si="32"/>
        <v>0</v>
      </c>
      <c r="R114" s="112">
        <f t="shared" si="35"/>
        <v>0</v>
      </c>
      <c r="T114" s="288">
        <v>0</v>
      </c>
      <c r="U114" s="289">
        <v>0</v>
      </c>
      <c r="V114" s="290">
        <v>0</v>
      </c>
    </row>
    <row r="115" spans="1:22" x14ac:dyDescent="0.25">
      <c r="A115" s="35" t="str">
        <f t="shared" si="33"/>
        <v>R&amp;DP9</v>
      </c>
      <c r="C115" s="174">
        <f>IF(C114="-","-",IF(C114+1&gt;COUNTA('0. Control Panel'!$C$7:$C$16),"-",C114+1))</f>
        <v>5</v>
      </c>
      <c r="D115" s="213" t="str">
        <f>IF(C115="-","-",INDEX('0. Control Panel'!$B$6:$K$16,MATCH('3. Product Benefit Input'!$C115,'0. Control Panel'!$B$6:$B$16,0),MATCH(D$6,'0. Control Panel'!$B$6:$K$6,0)))</f>
        <v>R&amp;D</v>
      </c>
      <c r="E115" s="174"/>
      <c r="F115" s="214">
        <f>IFERROR(INDEX('1. FTE Allocations'!$A$5:$I$307,MATCH($A115,'1. FTE Allocations'!$A$5:$A$307,0),MATCH(F$4,'1. FTE Allocations'!$A$5:$I$5,0)),0)</f>
        <v>0</v>
      </c>
      <c r="H115" s="288">
        <v>0</v>
      </c>
      <c r="I115" s="289">
        <v>0</v>
      </c>
      <c r="J115" s="290">
        <v>0</v>
      </c>
      <c r="L115" s="215">
        <f>IFERROR(INDEX('1. FTE Allocations'!$A$5:$I$307,MATCH($A115,'1. FTE Allocations'!$A$5:$A$307,0),MATCH(L$4,'1. FTE Allocations'!$A$5:$I$5,0)),0)</f>
        <v>0</v>
      </c>
      <c r="M115" s="211"/>
      <c r="N115" s="294">
        <f t="shared" si="34"/>
        <v>0</v>
      </c>
      <c r="O115" s="297">
        <f t="shared" si="32"/>
        <v>0</v>
      </c>
      <c r="P115" s="298">
        <f t="shared" si="32"/>
        <v>0</v>
      </c>
      <c r="R115" s="112">
        <f t="shared" si="35"/>
        <v>0</v>
      </c>
      <c r="T115" s="288">
        <v>0</v>
      </c>
      <c r="U115" s="289">
        <v>0</v>
      </c>
      <c r="V115" s="290">
        <v>0</v>
      </c>
    </row>
    <row r="116" spans="1:22" x14ac:dyDescent="0.25">
      <c r="A116" s="35" t="str">
        <f t="shared" si="33"/>
        <v>HRP9</v>
      </c>
      <c r="C116" s="174">
        <f>IF(C115="-","-",IF(C115+1&gt;COUNTA('0. Control Panel'!$C$7:$C$16),"-",C115+1))</f>
        <v>6</v>
      </c>
      <c r="D116" s="213" t="str">
        <f>IF(C116="-","-",INDEX('0. Control Panel'!$B$6:$K$16,MATCH('3. Product Benefit Input'!$C116,'0. Control Panel'!$B$6:$B$16,0),MATCH(D$6,'0. Control Panel'!$B$6:$K$6,0)))</f>
        <v>HR</v>
      </c>
      <c r="E116" s="174"/>
      <c r="F116" s="214">
        <f>IFERROR(INDEX('1. FTE Allocations'!$A$5:$I$307,MATCH($A116,'1. FTE Allocations'!$A$5:$A$307,0),MATCH(F$4,'1. FTE Allocations'!$A$5:$I$5,0)),0)</f>
        <v>0</v>
      </c>
      <c r="H116" s="288">
        <v>0</v>
      </c>
      <c r="I116" s="289">
        <v>0</v>
      </c>
      <c r="J116" s="290">
        <v>0</v>
      </c>
      <c r="L116" s="215">
        <f>IFERROR(INDEX('1. FTE Allocations'!$A$5:$I$307,MATCH($A116,'1. FTE Allocations'!$A$5:$A$307,0),MATCH(L$4,'1. FTE Allocations'!$A$5:$I$5,0)),0)</f>
        <v>0</v>
      </c>
      <c r="M116" s="211"/>
      <c r="N116" s="294">
        <f t="shared" si="34"/>
        <v>0</v>
      </c>
      <c r="O116" s="297">
        <f t="shared" si="32"/>
        <v>0</v>
      </c>
      <c r="P116" s="298">
        <f t="shared" si="32"/>
        <v>0</v>
      </c>
      <c r="R116" s="112">
        <f t="shared" si="35"/>
        <v>0</v>
      </c>
      <c r="T116" s="288">
        <v>0</v>
      </c>
      <c r="U116" s="289">
        <v>0</v>
      </c>
      <c r="V116" s="290">
        <v>0</v>
      </c>
    </row>
    <row r="117" spans="1:22" x14ac:dyDescent="0.25">
      <c r="A117" s="35" t="str">
        <f t="shared" si="33"/>
        <v>FinanceP9</v>
      </c>
      <c r="C117" s="174">
        <f>IF(C116="-","-",IF(C116+1&gt;COUNTA('0. Control Panel'!$C$7:$C$16),"-",C116+1))</f>
        <v>7</v>
      </c>
      <c r="D117" s="213" t="str">
        <f>IF(C117="-","-",INDEX('0. Control Panel'!$B$6:$K$16,MATCH('3. Product Benefit Input'!$C117,'0. Control Panel'!$B$6:$B$16,0),MATCH(D$6,'0. Control Panel'!$B$6:$K$6,0)))</f>
        <v>Finance</v>
      </c>
      <c r="E117" s="174"/>
      <c r="F117" s="214">
        <f>IFERROR(INDEX('1. FTE Allocations'!$A$5:$I$307,MATCH($A117,'1. FTE Allocations'!$A$5:$A$307,0),MATCH(F$4,'1. FTE Allocations'!$A$5:$I$5,0)),0)</f>
        <v>0</v>
      </c>
      <c r="H117" s="288">
        <v>0</v>
      </c>
      <c r="I117" s="289">
        <v>0</v>
      </c>
      <c r="J117" s="290">
        <v>0</v>
      </c>
      <c r="L117" s="215">
        <f>IFERROR(INDEX('1. FTE Allocations'!$A$5:$I$307,MATCH($A117,'1. FTE Allocations'!$A$5:$A$307,0),MATCH(L$4,'1. FTE Allocations'!$A$5:$I$5,0)),0)</f>
        <v>0</v>
      </c>
      <c r="M117" s="211"/>
      <c r="N117" s="294">
        <f t="shared" si="34"/>
        <v>0</v>
      </c>
      <c r="O117" s="297">
        <f t="shared" si="32"/>
        <v>0</v>
      </c>
      <c r="P117" s="298">
        <f t="shared" si="32"/>
        <v>0</v>
      </c>
      <c r="R117" s="112">
        <f t="shared" si="35"/>
        <v>0</v>
      </c>
      <c r="T117" s="288">
        <v>0</v>
      </c>
      <c r="U117" s="289">
        <v>0</v>
      </c>
      <c r="V117" s="290">
        <v>0</v>
      </c>
    </row>
    <row r="118" spans="1:22" x14ac:dyDescent="0.25">
      <c r="A118" s="35" t="str">
        <f t="shared" si="33"/>
        <v>Head OfficeP9</v>
      </c>
      <c r="C118" s="174">
        <f>IF(C117="-","-",IF(C117+1&gt;COUNTA('0. Control Panel'!$C$7:$C$16),"-",C117+1))</f>
        <v>8</v>
      </c>
      <c r="D118" s="213" t="str">
        <f>IF(C118="-","-",INDEX('0. Control Panel'!$B$6:$K$16,MATCH('3. Product Benefit Input'!$C118,'0. Control Panel'!$B$6:$B$16,0),MATCH(D$6,'0. Control Panel'!$B$6:$K$6,0)))</f>
        <v>Head Office</v>
      </c>
      <c r="E118" s="174"/>
      <c r="F118" s="214">
        <f>IFERROR(INDEX('1. FTE Allocations'!$A$5:$I$307,MATCH($A118,'1. FTE Allocations'!$A$5:$A$307,0),MATCH(F$4,'1. FTE Allocations'!$A$5:$I$5,0)),0)</f>
        <v>0</v>
      </c>
      <c r="H118" s="288">
        <v>0</v>
      </c>
      <c r="I118" s="289">
        <v>0</v>
      </c>
      <c r="J118" s="290">
        <v>0</v>
      </c>
      <c r="L118" s="215">
        <f>IFERROR(INDEX('1. FTE Allocations'!$A$5:$I$307,MATCH($A118,'1. FTE Allocations'!$A$5:$A$307,0),MATCH(L$4,'1. FTE Allocations'!$A$5:$I$5,0)),0)</f>
        <v>0</v>
      </c>
      <c r="M118" s="211"/>
      <c r="N118" s="294">
        <f t="shared" si="34"/>
        <v>0</v>
      </c>
      <c r="O118" s="297">
        <f t="shared" si="32"/>
        <v>0</v>
      </c>
      <c r="P118" s="298">
        <f t="shared" si="32"/>
        <v>0</v>
      </c>
      <c r="R118" s="112">
        <f t="shared" si="35"/>
        <v>0</v>
      </c>
      <c r="T118" s="288">
        <v>0</v>
      </c>
      <c r="U118" s="289">
        <v>0</v>
      </c>
      <c r="V118" s="290">
        <v>0</v>
      </c>
    </row>
    <row r="119" spans="1:22" x14ac:dyDescent="0.25">
      <c r="A119" s="35" t="str">
        <f t="shared" si="33"/>
        <v>-P9</v>
      </c>
      <c r="C119" s="174" t="str">
        <f>IF(C118="-","-",IF(C118+1&gt;COUNTA('0. Control Panel'!$C$7:$C$16),"-",C118+1))</f>
        <v>-</v>
      </c>
      <c r="D119" s="213" t="str">
        <f>IF(C119="-","-",INDEX('0. Control Panel'!$B$6:$K$16,MATCH('3. Product Benefit Input'!$C119,'0. Control Panel'!$B$6:$B$16,0),MATCH(D$6,'0. Control Panel'!$B$6:$K$6,0)))</f>
        <v>-</v>
      </c>
      <c r="E119" s="174"/>
      <c r="F119" s="214">
        <f>IFERROR(INDEX('1. FTE Allocations'!$A$5:$I$307,MATCH($A119,'1. FTE Allocations'!$A$5:$A$307,0),MATCH(F$4,'1. FTE Allocations'!$A$5:$I$5,0)),0)</f>
        <v>0</v>
      </c>
      <c r="H119" s="288">
        <v>0</v>
      </c>
      <c r="I119" s="289">
        <v>0</v>
      </c>
      <c r="J119" s="290">
        <v>0</v>
      </c>
      <c r="L119" s="215">
        <f>IFERROR(INDEX('1. FTE Allocations'!$A$5:$I$307,MATCH($A119,'1. FTE Allocations'!$A$5:$A$307,0),MATCH(L$4,'1. FTE Allocations'!$A$5:$I$5,0)),0)</f>
        <v>0</v>
      </c>
      <c r="M119" s="211"/>
      <c r="N119" s="294">
        <f t="shared" si="34"/>
        <v>0</v>
      </c>
      <c r="O119" s="297">
        <f t="shared" si="32"/>
        <v>0</v>
      </c>
      <c r="P119" s="298">
        <f t="shared" si="32"/>
        <v>0</v>
      </c>
      <c r="R119" s="112">
        <f t="shared" si="35"/>
        <v>0</v>
      </c>
      <c r="T119" s="288">
        <v>0</v>
      </c>
      <c r="U119" s="289">
        <v>0</v>
      </c>
      <c r="V119" s="290">
        <v>0</v>
      </c>
    </row>
    <row r="120" spans="1:22" x14ac:dyDescent="0.25">
      <c r="A120" s="35" t="str">
        <f t="shared" si="33"/>
        <v>-P9</v>
      </c>
      <c r="C120" s="175" t="str">
        <f>IF(C119="-","-",IF(C119+1&gt;COUNTA('0. Control Panel'!$C$7:$C$16),"-",C119+1))</f>
        <v>-</v>
      </c>
      <c r="D120" s="176" t="str">
        <f>IF(C120="-","-",INDEX('0. Control Panel'!$B$6:$K$16,MATCH('3. Product Benefit Input'!$C120,'0. Control Panel'!$B$6:$B$16,0),MATCH(D$6,'0. Control Panel'!$B$6:$K$6,0)))</f>
        <v>-</v>
      </c>
      <c r="E120" s="175"/>
      <c r="F120" s="216">
        <f>IFERROR(INDEX('1. FTE Allocations'!$A$5:$I$307,MATCH($A120,'1. FTE Allocations'!$A$5:$A$307,0),MATCH(F$4,'1. FTE Allocations'!$A$5:$I$5,0)),0)</f>
        <v>0</v>
      </c>
      <c r="H120" s="291">
        <v>0</v>
      </c>
      <c r="I120" s="292">
        <v>0</v>
      </c>
      <c r="J120" s="293">
        <v>0</v>
      </c>
      <c r="L120" s="217">
        <f>IFERROR(INDEX('1. FTE Allocations'!$A$5:$I$307,MATCH($A120,'1. FTE Allocations'!$A$5:$A$307,0),MATCH(L$4,'1. FTE Allocations'!$A$5:$I$5,0)),0)</f>
        <v>0</v>
      </c>
      <c r="M120" s="211"/>
      <c r="N120" s="299">
        <f t="shared" si="34"/>
        <v>0</v>
      </c>
      <c r="O120" s="300">
        <f t="shared" si="32"/>
        <v>0</v>
      </c>
      <c r="P120" s="301">
        <f t="shared" si="32"/>
        <v>0</v>
      </c>
      <c r="R120" s="112">
        <f t="shared" si="35"/>
        <v>0</v>
      </c>
      <c r="T120" s="291">
        <v>0</v>
      </c>
      <c r="U120" s="292">
        <v>0</v>
      </c>
      <c r="V120" s="293">
        <v>0</v>
      </c>
    </row>
    <row r="121" spans="1:22" ht="17.100000000000001" customHeight="1" x14ac:dyDescent="0.25">
      <c r="D121" s="314" t="s">
        <v>72</v>
      </c>
      <c r="F121" s="315">
        <f>SUM(F111:F120)</f>
        <v>0</v>
      </c>
      <c r="G121" s="35"/>
      <c r="R121" s="316">
        <f>SUM(R111:R120)</f>
        <v>0</v>
      </c>
    </row>
    <row r="122" spans="1:22" ht="9.9499999999999993" customHeight="1" x14ac:dyDescent="0.25">
      <c r="F122" s="313"/>
      <c r="G122" s="35"/>
      <c r="R122" s="164"/>
    </row>
    <row r="123" spans="1:22" ht="15.95" customHeight="1" x14ac:dyDescent="0.25">
      <c r="C123" s="187" t="s">
        <v>31</v>
      </c>
      <c r="D123" s="203" t="str">
        <f>IF(INDEX('0. Control Panel'!$B$31:$C$41,MATCH('3. Product Benefit Input'!$C123,'0. Control Panel'!$B$31:$B$41,0),2)="","n/a",INDEX('0. Control Panel'!$B$31:$C$41,MATCH('3. Product Benefit Input'!$C123,'0. Control Panel'!$B$31:$B$41,0),2))</f>
        <v>n/a</v>
      </c>
      <c r="F123" s="218"/>
      <c r="G123" s="35"/>
      <c r="H123" s="35"/>
      <c r="I123" s="35"/>
      <c r="J123" s="35"/>
      <c r="K123" s="35"/>
      <c r="L123" s="35"/>
      <c r="M123" s="35"/>
      <c r="N123" s="35"/>
      <c r="O123" s="35"/>
      <c r="P123" s="35"/>
      <c r="Q123" s="35"/>
      <c r="R123" s="35"/>
      <c r="S123" s="35"/>
      <c r="T123" s="35"/>
      <c r="U123" s="35"/>
      <c r="V123" s="35"/>
    </row>
    <row r="124" spans="1:22" x14ac:dyDescent="0.25">
      <c r="A124" s="35" t="str">
        <f>D124&amp;$C$123</f>
        <v>ITP10</v>
      </c>
      <c r="C124" s="174">
        <f>IF(C121="-","-",IF(C121+1&gt;COUNTA('0. Control Panel'!$C$7:$C$16),"-",C121+1))</f>
        <v>1</v>
      </c>
      <c r="D124" s="171" t="str">
        <f>IF(C124="-","-",INDEX('0. Control Panel'!$B$6:$K$16,MATCH('3. Product Benefit Input'!$C124,'0. Control Panel'!$B$6:$B$16,0),MATCH(D$6,'0. Control Panel'!$B$6:$K$6,0)))</f>
        <v>IT</v>
      </c>
      <c r="E124" s="170"/>
      <c r="F124" s="209">
        <f>IFERROR(INDEX('1. FTE Allocations'!$A$5:$I$307,MATCH($A124,'1. FTE Allocations'!$A$5:$A$307,0),MATCH(F$4,'1. FTE Allocations'!$A$5:$I$5,0)),0)</f>
        <v>0</v>
      </c>
      <c r="H124" s="285">
        <v>0</v>
      </c>
      <c r="I124" s="286">
        <v>0</v>
      </c>
      <c r="J124" s="287">
        <v>0</v>
      </c>
      <c r="L124" s="210">
        <f>IFERROR(INDEX('1. FTE Allocations'!$A$5:$I$307,MATCH($A124,'1. FTE Allocations'!$A$5:$A$307,0),MATCH(L$4,'1. FTE Allocations'!$A$5:$I$5,0)),0)</f>
        <v>0</v>
      </c>
      <c r="M124" s="211"/>
      <c r="N124" s="302">
        <f>$L124</f>
        <v>0</v>
      </c>
      <c r="O124" s="295">
        <f t="shared" ref="O124:P133" si="36">$L124</f>
        <v>0</v>
      </c>
      <c r="P124" s="296">
        <f t="shared" si="36"/>
        <v>0</v>
      </c>
      <c r="R124" s="112">
        <f>AVERAGE(T124:V124)</f>
        <v>0</v>
      </c>
      <c r="T124" s="285">
        <v>0</v>
      </c>
      <c r="U124" s="286">
        <v>0</v>
      </c>
      <c r="V124" s="287">
        <v>0</v>
      </c>
    </row>
    <row r="125" spans="1:22" x14ac:dyDescent="0.25">
      <c r="A125" s="35" t="str">
        <f t="shared" ref="A125:A133" si="37">D125&amp;$C$123</f>
        <v>SalesP10</v>
      </c>
      <c r="C125" s="174">
        <f>IF(C124="-","-",IF(C124+1&gt;COUNTA('0. Control Panel'!$C$7:$C$16),"-",C124+1))</f>
        <v>2</v>
      </c>
      <c r="D125" s="213" t="str">
        <f>IF(C125="-","-",INDEX('0. Control Panel'!$B$6:$K$16,MATCH('3. Product Benefit Input'!$C125,'0. Control Panel'!$B$6:$B$16,0),MATCH(D$6,'0. Control Panel'!$B$6:$K$6,0)))</f>
        <v>Sales</v>
      </c>
      <c r="E125" s="174"/>
      <c r="F125" s="214">
        <f>IFERROR(INDEX('1. FTE Allocations'!$A$5:$I$307,MATCH($A125,'1. FTE Allocations'!$A$5:$A$307,0),MATCH(F$4,'1. FTE Allocations'!$A$5:$I$5,0)),0)</f>
        <v>0</v>
      </c>
      <c r="H125" s="288">
        <v>0</v>
      </c>
      <c r="I125" s="289">
        <v>0</v>
      </c>
      <c r="J125" s="290">
        <v>0</v>
      </c>
      <c r="L125" s="215">
        <f>IFERROR(INDEX('1. FTE Allocations'!$A$5:$I$307,MATCH($A125,'1. FTE Allocations'!$A$5:$A$307,0),MATCH(L$4,'1. FTE Allocations'!$A$5:$I$5,0)),0)</f>
        <v>0</v>
      </c>
      <c r="M125" s="211"/>
      <c r="N125" s="294">
        <f t="shared" ref="N125:N133" si="38">$L125</f>
        <v>0</v>
      </c>
      <c r="O125" s="297">
        <f t="shared" si="36"/>
        <v>0</v>
      </c>
      <c r="P125" s="298">
        <f t="shared" si="36"/>
        <v>0</v>
      </c>
      <c r="R125" s="112">
        <f t="shared" ref="R125:R133" si="39">AVERAGE(T125:V125)</f>
        <v>0</v>
      </c>
      <c r="T125" s="288">
        <v>0</v>
      </c>
      <c r="U125" s="289">
        <v>0</v>
      </c>
      <c r="V125" s="290">
        <v>0</v>
      </c>
    </row>
    <row r="126" spans="1:22" x14ac:dyDescent="0.25">
      <c r="A126" s="35" t="str">
        <f t="shared" si="37"/>
        <v>Product AP10</v>
      </c>
      <c r="C126" s="174">
        <f>IF(C125="-","-",IF(C125+1&gt;COUNTA('0. Control Panel'!$C$7:$C$16),"-",C125+1))</f>
        <v>3</v>
      </c>
      <c r="D126" s="213" t="str">
        <f>IF(C126="-","-",INDEX('0. Control Panel'!$B$6:$K$16,MATCH('3. Product Benefit Input'!$C126,'0. Control Panel'!$B$6:$B$16,0),MATCH(D$6,'0. Control Panel'!$B$6:$K$6,0)))</f>
        <v>Product A</v>
      </c>
      <c r="E126" s="174"/>
      <c r="F126" s="214">
        <f>IFERROR(INDEX('1. FTE Allocations'!$A$5:$I$307,MATCH($A126,'1. FTE Allocations'!$A$5:$A$307,0),MATCH(F$4,'1. FTE Allocations'!$A$5:$I$5,0)),0)</f>
        <v>0</v>
      </c>
      <c r="H126" s="288">
        <v>0</v>
      </c>
      <c r="I126" s="289">
        <v>0</v>
      </c>
      <c r="J126" s="290">
        <v>0</v>
      </c>
      <c r="L126" s="215">
        <f>IFERROR(INDEX('1. FTE Allocations'!$A$5:$I$307,MATCH($A126,'1. FTE Allocations'!$A$5:$A$307,0),MATCH(L$4,'1. FTE Allocations'!$A$5:$I$5,0)),0)</f>
        <v>0</v>
      </c>
      <c r="M126" s="211"/>
      <c r="N126" s="294">
        <f t="shared" si="38"/>
        <v>0</v>
      </c>
      <c r="O126" s="297">
        <f t="shared" si="36"/>
        <v>0</v>
      </c>
      <c r="P126" s="298">
        <f t="shared" si="36"/>
        <v>0</v>
      </c>
      <c r="R126" s="112">
        <f t="shared" si="39"/>
        <v>0</v>
      </c>
      <c r="T126" s="288">
        <v>0</v>
      </c>
      <c r="U126" s="289">
        <v>0</v>
      </c>
      <c r="V126" s="290">
        <v>0</v>
      </c>
    </row>
    <row r="127" spans="1:22" x14ac:dyDescent="0.25">
      <c r="A127" s="35" t="str">
        <f t="shared" si="37"/>
        <v>Product BP10</v>
      </c>
      <c r="C127" s="174">
        <f>IF(C126="-","-",IF(C126+1&gt;COUNTA('0. Control Panel'!$C$7:$C$16),"-",C126+1))</f>
        <v>4</v>
      </c>
      <c r="D127" s="213" t="str">
        <f>IF(C127="-","-",INDEX('0. Control Panel'!$B$6:$K$16,MATCH('3. Product Benefit Input'!$C127,'0. Control Panel'!$B$6:$B$16,0),MATCH(D$6,'0. Control Panel'!$B$6:$K$6,0)))</f>
        <v>Product B</v>
      </c>
      <c r="E127" s="174"/>
      <c r="F127" s="214">
        <f>IFERROR(INDEX('1. FTE Allocations'!$A$5:$I$307,MATCH($A127,'1. FTE Allocations'!$A$5:$A$307,0),MATCH(F$4,'1. FTE Allocations'!$A$5:$I$5,0)),0)</f>
        <v>0</v>
      </c>
      <c r="H127" s="288">
        <v>0</v>
      </c>
      <c r="I127" s="289">
        <v>0</v>
      </c>
      <c r="J127" s="290">
        <v>0</v>
      </c>
      <c r="L127" s="215">
        <f>IFERROR(INDEX('1. FTE Allocations'!$A$5:$I$307,MATCH($A127,'1. FTE Allocations'!$A$5:$A$307,0),MATCH(L$4,'1. FTE Allocations'!$A$5:$I$5,0)),0)</f>
        <v>0</v>
      </c>
      <c r="M127" s="211"/>
      <c r="N127" s="294">
        <f t="shared" si="38"/>
        <v>0</v>
      </c>
      <c r="O127" s="297">
        <f t="shared" si="36"/>
        <v>0</v>
      </c>
      <c r="P127" s="298">
        <f t="shared" si="36"/>
        <v>0</v>
      </c>
      <c r="R127" s="112">
        <f t="shared" si="39"/>
        <v>0</v>
      </c>
      <c r="T127" s="288">
        <v>0</v>
      </c>
      <c r="U127" s="289">
        <v>0</v>
      </c>
      <c r="V127" s="290">
        <v>0</v>
      </c>
    </row>
    <row r="128" spans="1:22" x14ac:dyDescent="0.25">
      <c r="A128" s="35" t="str">
        <f t="shared" si="37"/>
        <v>R&amp;DP10</v>
      </c>
      <c r="C128" s="174">
        <f>IF(C127="-","-",IF(C127+1&gt;COUNTA('0. Control Panel'!$C$7:$C$16),"-",C127+1))</f>
        <v>5</v>
      </c>
      <c r="D128" s="213" t="str">
        <f>IF(C128="-","-",INDEX('0. Control Panel'!$B$6:$K$16,MATCH('3. Product Benefit Input'!$C128,'0. Control Panel'!$B$6:$B$16,0),MATCH(D$6,'0. Control Panel'!$B$6:$K$6,0)))</f>
        <v>R&amp;D</v>
      </c>
      <c r="E128" s="174"/>
      <c r="F128" s="214">
        <f>IFERROR(INDEX('1. FTE Allocations'!$A$5:$I$307,MATCH($A128,'1. FTE Allocations'!$A$5:$A$307,0),MATCH(F$4,'1. FTE Allocations'!$A$5:$I$5,0)),0)</f>
        <v>0</v>
      </c>
      <c r="H128" s="288">
        <v>0</v>
      </c>
      <c r="I128" s="289">
        <v>0</v>
      </c>
      <c r="J128" s="290">
        <v>0</v>
      </c>
      <c r="L128" s="215">
        <f>IFERROR(INDEX('1. FTE Allocations'!$A$5:$I$307,MATCH($A128,'1. FTE Allocations'!$A$5:$A$307,0),MATCH(L$4,'1. FTE Allocations'!$A$5:$I$5,0)),0)</f>
        <v>0</v>
      </c>
      <c r="M128" s="211"/>
      <c r="N128" s="294">
        <f t="shared" si="38"/>
        <v>0</v>
      </c>
      <c r="O128" s="297">
        <f t="shared" si="36"/>
        <v>0</v>
      </c>
      <c r="P128" s="298">
        <f t="shared" si="36"/>
        <v>0</v>
      </c>
      <c r="R128" s="112">
        <f t="shared" si="39"/>
        <v>0</v>
      </c>
      <c r="T128" s="288">
        <v>0</v>
      </c>
      <c r="U128" s="289">
        <v>0</v>
      </c>
      <c r="V128" s="290">
        <v>0</v>
      </c>
    </row>
    <row r="129" spans="1:23" x14ac:dyDescent="0.25">
      <c r="A129" s="35" t="str">
        <f t="shared" si="37"/>
        <v>HRP10</v>
      </c>
      <c r="C129" s="174">
        <f>IF(C128="-","-",IF(C128+1&gt;COUNTA('0. Control Panel'!$C$7:$C$16),"-",C128+1))</f>
        <v>6</v>
      </c>
      <c r="D129" s="213" t="str">
        <f>IF(C129="-","-",INDEX('0. Control Panel'!$B$6:$K$16,MATCH('3. Product Benefit Input'!$C129,'0. Control Panel'!$B$6:$B$16,0),MATCH(D$6,'0. Control Panel'!$B$6:$K$6,0)))</f>
        <v>HR</v>
      </c>
      <c r="E129" s="174"/>
      <c r="F129" s="214">
        <f>IFERROR(INDEX('1. FTE Allocations'!$A$5:$I$307,MATCH($A129,'1. FTE Allocations'!$A$5:$A$307,0),MATCH(F$4,'1. FTE Allocations'!$A$5:$I$5,0)),0)</f>
        <v>0</v>
      </c>
      <c r="H129" s="288">
        <v>0</v>
      </c>
      <c r="I129" s="289">
        <v>0</v>
      </c>
      <c r="J129" s="290">
        <v>0</v>
      </c>
      <c r="L129" s="215">
        <f>IFERROR(INDEX('1. FTE Allocations'!$A$5:$I$307,MATCH($A129,'1. FTE Allocations'!$A$5:$A$307,0),MATCH(L$4,'1. FTE Allocations'!$A$5:$I$5,0)),0)</f>
        <v>0</v>
      </c>
      <c r="M129" s="211"/>
      <c r="N129" s="294">
        <f t="shared" si="38"/>
        <v>0</v>
      </c>
      <c r="O129" s="297">
        <f t="shared" si="36"/>
        <v>0</v>
      </c>
      <c r="P129" s="298">
        <f t="shared" si="36"/>
        <v>0</v>
      </c>
      <c r="R129" s="112">
        <f t="shared" si="39"/>
        <v>0</v>
      </c>
      <c r="T129" s="288">
        <v>0</v>
      </c>
      <c r="U129" s="289">
        <v>0</v>
      </c>
      <c r="V129" s="290">
        <v>0</v>
      </c>
    </row>
    <row r="130" spans="1:23" x14ac:dyDescent="0.25">
      <c r="A130" s="35" t="str">
        <f t="shared" si="37"/>
        <v>FinanceP10</v>
      </c>
      <c r="C130" s="174">
        <f>IF(C129="-","-",IF(C129+1&gt;COUNTA('0. Control Panel'!$C$7:$C$16),"-",C129+1))</f>
        <v>7</v>
      </c>
      <c r="D130" s="213" t="str">
        <f>IF(C130="-","-",INDEX('0. Control Panel'!$B$6:$K$16,MATCH('3. Product Benefit Input'!$C130,'0. Control Panel'!$B$6:$B$16,0),MATCH(D$6,'0. Control Panel'!$B$6:$K$6,0)))</f>
        <v>Finance</v>
      </c>
      <c r="E130" s="174"/>
      <c r="F130" s="214">
        <f>IFERROR(INDEX('1. FTE Allocations'!$A$5:$I$307,MATCH($A130,'1. FTE Allocations'!$A$5:$A$307,0),MATCH(F$4,'1. FTE Allocations'!$A$5:$I$5,0)),0)</f>
        <v>0</v>
      </c>
      <c r="H130" s="288">
        <v>0</v>
      </c>
      <c r="I130" s="289">
        <v>0</v>
      </c>
      <c r="J130" s="290">
        <v>0</v>
      </c>
      <c r="L130" s="215">
        <f>IFERROR(INDEX('1. FTE Allocations'!$A$5:$I$307,MATCH($A130,'1. FTE Allocations'!$A$5:$A$307,0),MATCH(L$4,'1. FTE Allocations'!$A$5:$I$5,0)),0)</f>
        <v>0</v>
      </c>
      <c r="M130" s="211"/>
      <c r="N130" s="294">
        <f t="shared" si="38"/>
        <v>0</v>
      </c>
      <c r="O130" s="297">
        <f t="shared" si="36"/>
        <v>0</v>
      </c>
      <c r="P130" s="298">
        <f t="shared" si="36"/>
        <v>0</v>
      </c>
      <c r="R130" s="112">
        <f t="shared" si="39"/>
        <v>0</v>
      </c>
      <c r="T130" s="288">
        <v>0</v>
      </c>
      <c r="U130" s="289">
        <v>0</v>
      </c>
      <c r="V130" s="290">
        <v>0</v>
      </c>
    </row>
    <row r="131" spans="1:23" x14ac:dyDescent="0.25">
      <c r="A131" s="35" t="str">
        <f t="shared" si="37"/>
        <v>Head OfficeP10</v>
      </c>
      <c r="C131" s="174">
        <f>IF(C130="-","-",IF(C130+1&gt;COUNTA('0. Control Panel'!$C$7:$C$16),"-",C130+1))</f>
        <v>8</v>
      </c>
      <c r="D131" s="213" t="str">
        <f>IF(C131="-","-",INDEX('0. Control Panel'!$B$6:$K$16,MATCH('3. Product Benefit Input'!$C131,'0. Control Panel'!$B$6:$B$16,0),MATCH(D$6,'0. Control Panel'!$B$6:$K$6,0)))</f>
        <v>Head Office</v>
      </c>
      <c r="E131" s="174"/>
      <c r="F131" s="214">
        <f>IFERROR(INDEX('1. FTE Allocations'!$A$5:$I$307,MATCH($A131,'1. FTE Allocations'!$A$5:$A$307,0),MATCH(F$4,'1. FTE Allocations'!$A$5:$I$5,0)),0)</f>
        <v>0</v>
      </c>
      <c r="H131" s="288">
        <v>0</v>
      </c>
      <c r="I131" s="289">
        <v>0</v>
      </c>
      <c r="J131" s="290">
        <v>0</v>
      </c>
      <c r="L131" s="215">
        <f>IFERROR(INDEX('1. FTE Allocations'!$A$5:$I$307,MATCH($A131,'1. FTE Allocations'!$A$5:$A$307,0),MATCH(L$4,'1. FTE Allocations'!$A$5:$I$5,0)),0)</f>
        <v>0</v>
      </c>
      <c r="M131" s="211"/>
      <c r="N131" s="294">
        <f t="shared" si="38"/>
        <v>0</v>
      </c>
      <c r="O131" s="297">
        <f t="shared" si="36"/>
        <v>0</v>
      </c>
      <c r="P131" s="298">
        <f t="shared" si="36"/>
        <v>0</v>
      </c>
      <c r="R131" s="112">
        <f t="shared" si="39"/>
        <v>0</v>
      </c>
      <c r="T131" s="288">
        <v>0</v>
      </c>
      <c r="U131" s="289">
        <v>0</v>
      </c>
      <c r="V131" s="290">
        <v>0</v>
      </c>
    </row>
    <row r="132" spans="1:23" x14ac:dyDescent="0.25">
      <c r="A132" s="35" t="str">
        <f t="shared" si="37"/>
        <v>-P10</v>
      </c>
      <c r="C132" s="174" t="str">
        <f>IF(C131="-","-",IF(C131+1&gt;COUNTA('0. Control Panel'!$C$7:$C$16),"-",C131+1))</f>
        <v>-</v>
      </c>
      <c r="D132" s="213" t="str">
        <f>IF(C132="-","-",INDEX('0. Control Panel'!$B$6:$K$16,MATCH('3. Product Benefit Input'!$C132,'0. Control Panel'!$B$6:$B$16,0),MATCH(D$6,'0. Control Panel'!$B$6:$K$6,0)))</f>
        <v>-</v>
      </c>
      <c r="E132" s="174"/>
      <c r="F132" s="214">
        <f>IFERROR(INDEX('1. FTE Allocations'!$A$5:$I$307,MATCH($A132,'1. FTE Allocations'!$A$5:$A$307,0),MATCH(F$4,'1. FTE Allocations'!$A$5:$I$5,0)),0)</f>
        <v>0</v>
      </c>
      <c r="H132" s="288">
        <v>0</v>
      </c>
      <c r="I132" s="289">
        <v>0</v>
      </c>
      <c r="J132" s="290">
        <v>0</v>
      </c>
      <c r="L132" s="215">
        <f>IFERROR(INDEX('1. FTE Allocations'!$A$5:$I$307,MATCH($A132,'1. FTE Allocations'!$A$5:$A$307,0),MATCH(L$4,'1. FTE Allocations'!$A$5:$I$5,0)),0)</f>
        <v>0</v>
      </c>
      <c r="M132" s="211"/>
      <c r="N132" s="294">
        <f t="shared" si="38"/>
        <v>0</v>
      </c>
      <c r="O132" s="297">
        <f t="shared" si="36"/>
        <v>0</v>
      </c>
      <c r="P132" s="298">
        <f t="shared" si="36"/>
        <v>0</v>
      </c>
      <c r="R132" s="112">
        <f t="shared" si="39"/>
        <v>0</v>
      </c>
      <c r="T132" s="288">
        <v>0</v>
      </c>
      <c r="U132" s="289">
        <v>0</v>
      </c>
      <c r="V132" s="290">
        <v>0</v>
      </c>
    </row>
    <row r="133" spans="1:23" x14ac:dyDescent="0.25">
      <c r="A133" s="35" t="str">
        <f t="shared" si="37"/>
        <v>-P10</v>
      </c>
      <c r="C133" s="175" t="str">
        <f>IF(C132="-","-",IF(C132+1&gt;COUNTA('0. Control Panel'!$C$7:$C$16),"-",C132+1))</f>
        <v>-</v>
      </c>
      <c r="D133" s="176" t="str">
        <f>IF(C133="-","-",INDEX('0. Control Panel'!$B$6:$K$16,MATCH('3. Product Benefit Input'!$C133,'0. Control Panel'!$B$6:$B$16,0),MATCH(D$6,'0. Control Panel'!$B$6:$K$6,0)))</f>
        <v>-</v>
      </c>
      <c r="E133" s="175"/>
      <c r="F133" s="216">
        <f>IFERROR(INDEX('1. FTE Allocations'!$A$5:$I$307,MATCH($A133,'1. FTE Allocations'!$A$5:$A$307,0),MATCH(F$4,'1. FTE Allocations'!$A$5:$I$5,0)),0)</f>
        <v>0</v>
      </c>
      <c r="H133" s="291">
        <v>0</v>
      </c>
      <c r="I133" s="292">
        <v>0</v>
      </c>
      <c r="J133" s="293">
        <v>0</v>
      </c>
      <c r="L133" s="217">
        <f>IFERROR(INDEX('1. FTE Allocations'!$A$5:$I$307,MATCH($A133,'1. FTE Allocations'!$A$5:$A$307,0),MATCH(L$4,'1. FTE Allocations'!$A$5:$I$5,0)),0)</f>
        <v>0</v>
      </c>
      <c r="M133" s="211"/>
      <c r="N133" s="299">
        <f t="shared" si="38"/>
        <v>0</v>
      </c>
      <c r="O133" s="300">
        <f t="shared" si="36"/>
        <v>0</v>
      </c>
      <c r="P133" s="301">
        <f t="shared" si="36"/>
        <v>0</v>
      </c>
      <c r="R133" s="112">
        <f t="shared" si="39"/>
        <v>0</v>
      </c>
      <c r="T133" s="291">
        <v>0</v>
      </c>
      <c r="U133" s="292">
        <v>0</v>
      </c>
      <c r="V133" s="293">
        <v>0</v>
      </c>
    </row>
    <row r="134" spans="1:23" x14ac:dyDescent="0.25">
      <c r="D134" s="314" t="s">
        <v>72</v>
      </c>
      <c r="F134" s="315">
        <f>SUM(F124:F133)</f>
        <v>0</v>
      </c>
      <c r="G134" s="35"/>
      <c r="R134" s="316">
        <f>SUM(R124:R133)</f>
        <v>0</v>
      </c>
    </row>
    <row r="135" spans="1:23" hidden="1" x14ac:dyDescent="0.25">
      <c r="H135" s="74" t="str">
        <f>H4</f>
        <v>Conservative</v>
      </c>
      <c r="I135" s="74" t="str">
        <f t="shared" ref="I135:J135" si="40">I4</f>
        <v>Pragmatic</v>
      </c>
      <c r="J135" s="74" t="str">
        <f t="shared" si="40"/>
        <v>Aggressive</v>
      </c>
      <c r="N135" s="74" t="str">
        <f>N4</f>
        <v>Conservative</v>
      </c>
      <c r="O135" s="74" t="str">
        <f t="shared" ref="O135:P135" si="41">O4</f>
        <v>Pragmatic</v>
      </c>
      <c r="P135" s="74" t="str">
        <f t="shared" si="41"/>
        <v>Aggressive</v>
      </c>
    </row>
    <row r="136" spans="1:23" hidden="1" x14ac:dyDescent="0.25">
      <c r="C136" s="170">
        <v>1</v>
      </c>
      <c r="D136" s="171" t="str">
        <f>IF(C136="-","-",INDEX('0. Control Panel'!$B$6:$K$16,MATCH('2. Customer Benefit Input'!$C136,'0. Control Panel'!$B$6:$B$16,0),MATCH(D$6,'0. Control Panel'!$B$6:$K$6,0)))</f>
        <v>IT</v>
      </c>
      <c r="F136" s="194">
        <f t="shared" ref="F136:F145" si="42">SUM(F7,F20,F33,F46,F59,F72,F85,F98,F111,F124)</f>
        <v>74.25</v>
      </c>
      <c r="H136" s="121">
        <f t="shared" ref="H136:J136" si="43">SUM(H7,H20,H33,H46,H59,H72,H85,H98,H111,H124)</f>
        <v>0</v>
      </c>
      <c r="I136" s="121">
        <f t="shared" si="43"/>
        <v>-15</v>
      </c>
      <c r="J136" s="121">
        <f t="shared" si="43"/>
        <v>-29</v>
      </c>
      <c r="L136" s="171" t="str">
        <f>D136</f>
        <v>IT</v>
      </c>
      <c r="N136" s="121">
        <f>IFERROR(($L7-N7)*($F7+H7)*'0. Control Panel'!$G7+(($L20-N20)*($F20+H20)*'0. Control Panel'!$G7)+(($L33-N33)*($F33+H33)*'0. Control Panel'!$G7)+(($L46-N46)*($F46+H46)*'0. Control Panel'!$G7)+(($L59-N59)*($F59+H59)*'0. Control Panel'!$G7)+(($L72-N72)*($F72+H72)*'0. Control Panel'!$G7)+(($L85-N85)*($F85+H85)*'0. Control Panel'!$G7)+(($L98-N98)*($F98+H98)*'0. Control Panel'!$G7)+(($L111-N111)*($F111+H111)*'0. Control Panel'!$G7)+(($L124-N124)*($F124+H124)*'0. Control Panel'!$G7),0)</f>
        <v>0</v>
      </c>
      <c r="O136" s="121">
        <f>IFERROR(($L7-O7)*($F7+I7)*'0. Control Panel'!$G7+(($L20-O20)*($F20+I20)*'0. Control Panel'!$G7)+(($L33-O33)*($F33+I33)*'0. Control Panel'!$G7)+(($L46-O46)*($F46+I46)*'0. Control Panel'!$G7)+(($L59-O59)*($F59+I59)*'0. Control Panel'!$G7)+(($L72-O72)*($F72+I72)*'0. Control Panel'!$G7)+(($L85-O85)*($F85+I85)*'0. Control Panel'!$G7)+(($L98-O98)*($F98+I98)*'0. Control Panel'!$G7)+(($L111-O111)*($F111+I111)*'0. Control Panel'!$G7)+(($L124-O124)*($F124+I124)*'0. Control Panel'!$G7),0)</f>
        <v>35.520000000000039</v>
      </c>
      <c r="P136" s="121">
        <f>IFERROR(($L7-P7)*($F7+J7)*'0. Control Panel'!$G7+(($L20-P20)*($F20+J20)*'0. Control Panel'!$G7)+(($L33-P33)*($F33+J33)*'0. Control Panel'!$G7)+(($L46-P46)*($F46+J46)*'0. Control Panel'!$G7)+(($L59-P59)*($F59+J59)*'0. Control Panel'!$G7)+(($L72-P72)*($F72+J72)*'0. Control Panel'!$G7)+(($L85-P85)*($F85+J85)*'0. Control Panel'!$G7)+(($L98-P98)*($F98+J98)*'0. Control Panel'!$G7)+(($L111-P111)*($F111+J111)*'0. Control Panel'!$G7)+(($L124-P124)*($F124+J124)*'0. Control Panel'!$G7),0)</f>
        <v>24.320000000000025</v>
      </c>
      <c r="W136" s="74"/>
    </row>
    <row r="137" spans="1:23" hidden="1" x14ac:dyDescent="0.25">
      <c r="C137" s="174">
        <f>IF(C136="-","-",IF(C136+1&gt;COUNTA('0. Control Panel'!$C$7:$C$16),"-",'2. Customer Benefit Input'!C136+1))</f>
        <v>2</v>
      </c>
      <c r="D137" s="213" t="str">
        <f>IF(C137="-","-",INDEX('0. Control Panel'!$B$6:$K$16,MATCH('2. Customer Benefit Input'!$C137,'0. Control Panel'!$B$6:$B$16,0),MATCH(D$6,'0. Control Panel'!$B$6:$K$6,0)))</f>
        <v>Sales</v>
      </c>
      <c r="F137" s="194">
        <f t="shared" si="42"/>
        <v>41.85</v>
      </c>
      <c r="H137" s="121">
        <f t="shared" ref="H137:J145" si="44">SUM(H8,H21,H34,H47,H60,H73,H86,H99,H112,H125)</f>
        <v>-1</v>
      </c>
      <c r="I137" s="121">
        <f t="shared" si="44"/>
        <v>-2</v>
      </c>
      <c r="J137" s="121">
        <f t="shared" si="44"/>
        <v>-5</v>
      </c>
      <c r="L137" s="171" t="str">
        <f t="shared" ref="L137:L146" si="45">D137</f>
        <v>Sales</v>
      </c>
      <c r="N137" s="121">
        <f>IFERROR(($L8-N8)*($F8+H8)*'0. Control Panel'!$G8+(($L21-N21)*($F21+H21)*'0. Control Panel'!$G8)+(($L34-N34)*($F34+H34)*'0. Control Panel'!$G8)+(($L47-N47)*($F47+H47)*'0. Control Panel'!$G8)+(($L60-N60)*($F60+H60)*'0. Control Panel'!$G8)+(($L73-N73)*($F73+H73)*'0. Control Panel'!$G8)+(($L86-N86)*($F86+H86)*'0. Control Panel'!$G8)+(($L99-N99)*($F99+H99)*'0. Control Panel'!$G8)+(($L112-N112)*($F112+H112)*'0. Control Panel'!$G8)+(($L125-N125)*($F125+H125)*'0. Control Panel'!$G8),0)</f>
        <v>0</v>
      </c>
      <c r="O137" s="121">
        <f>IFERROR(($L8-O8)*($F8+I8)*'0. Control Panel'!$G8+(($L21-O21)*($F21+I21)*'0. Control Panel'!$G8)+(($L34-O34)*($F34+I34)*'0. Control Panel'!$G8)+(($L47-O47)*($F47+I47)*'0. Control Panel'!$G8)+(($L60-O60)*($F60+I60)*'0. Control Panel'!$G8)+(($L73-O73)*($F73+I73)*'0. Control Panel'!$G8)+(($L86-O86)*($F86+I86)*'0. Control Panel'!$G8)+(($L99-O99)*($F99+I99)*'0. Control Panel'!$G8)+(($L112-O112)*($F112+I112)*'0. Control Panel'!$G8)+(($L125-O125)*($F125+I125)*'0. Control Panel'!$G8),0)</f>
        <v>63.760000000000005</v>
      </c>
      <c r="P137" s="121">
        <f>IFERROR(($L8-P8)*($F8+J8)*'0. Control Panel'!$G8+(($L21-P21)*($F21+J21)*'0. Control Panel'!$G8)+(($L34-P34)*($F34+J34)*'0. Control Panel'!$G8)+(($L47-P47)*($F47+J47)*'0. Control Panel'!$G8)+(($L60-P60)*($F60+J60)*'0. Control Panel'!$G8)+(($L73-P73)*($F73+J73)*'0. Control Panel'!$G8)+(($L86-P86)*($F86+J86)*'0. Control Panel'!$G8)+(($L99-P99)*($F99+J99)*'0. Control Panel'!$G8)+(($L112-P112)*($F112+J112)*'0. Control Panel'!$G8)+(($L125-P125)*($F125+J125)*'0. Control Panel'!$G8),0)</f>
        <v>88.44</v>
      </c>
      <c r="W137" s="74"/>
    </row>
    <row r="138" spans="1:23" hidden="1" x14ac:dyDescent="0.25">
      <c r="C138" s="174">
        <f>IF(C137="-","-",IF(C137+1&gt;COUNTA('0. Control Panel'!$C$7:$C$16),"-",'2. Customer Benefit Input'!C137+1))</f>
        <v>3</v>
      </c>
      <c r="D138" s="213" t="str">
        <f>IF(C138="-","-",INDEX('0. Control Panel'!$B$6:$K$16,MATCH('2. Customer Benefit Input'!$C138,'0. Control Panel'!$B$6:$B$16,0),MATCH(D$6,'0. Control Panel'!$B$6:$K$6,0)))</f>
        <v>Product A</v>
      </c>
      <c r="F138" s="194">
        <f t="shared" si="42"/>
        <v>126.22500000000002</v>
      </c>
      <c r="H138" s="121">
        <f t="shared" si="44"/>
        <v>-4</v>
      </c>
      <c r="I138" s="121">
        <f t="shared" si="44"/>
        <v>-8</v>
      </c>
      <c r="J138" s="121">
        <f t="shared" si="44"/>
        <v>-20</v>
      </c>
      <c r="L138" s="171" t="str">
        <f t="shared" si="45"/>
        <v>Product A</v>
      </c>
      <c r="N138" s="121">
        <f>IFERROR(($L9-N9)*($F9+H9)*'0. Control Panel'!$G9+(($L22-N22)*($F22+H22)*'0. Control Panel'!$G9)+(($L35-N35)*($F35+H35)*'0. Control Panel'!$G9)+(($L48-N48)*($F48+H48)*'0. Control Panel'!$G9)+(($L61-N61)*($F61+H61)*'0. Control Panel'!$G9)+(($L74-N74)*($F74+H74)*'0. Control Panel'!$G9)+(($L87-N87)*($F87+H87)*'0. Control Panel'!$G9)+(($L100-N100)*($F100+H100)*'0. Control Panel'!$G9)+(($L113-N113)*($F113+H113)*'0. Control Panel'!$G9)+(($L126-N126)*($F126+H126)*'0. Control Panel'!$G9),0)</f>
        <v>0</v>
      </c>
      <c r="O138" s="121">
        <f>IFERROR(($L9-O9)*($F9+I9)*'0. Control Panel'!$G9+(($L22-O22)*($F22+I22)*'0. Control Panel'!$G9)+(($L35-O35)*($F35+I35)*'0. Control Panel'!$G9)+(($L48-O48)*($F48+I48)*'0. Control Panel'!$G9)+(($L61-O61)*($F61+I61)*'0. Control Panel'!$G9)+(($L74-O74)*($F74+I74)*'0. Control Panel'!$G9)+(($L87-O87)*($F87+I87)*'0. Control Panel'!$G9)+(($L100-O100)*($F100+I100)*'0. Control Panel'!$G9)+(($L113-O113)*($F113+I113)*'0. Control Panel'!$G9)+(($L126-O126)*($F126+I126)*'0. Control Panel'!$G9),0)</f>
        <v>0</v>
      </c>
      <c r="P138" s="121">
        <f>IFERROR(($L9-P9)*($F9+J9)*'0. Control Panel'!$G9+(($L22-P22)*($F22+J22)*'0. Control Panel'!$G9)+(($L35-P35)*($F35+J35)*'0. Control Panel'!$G9)+(($L48-P48)*($F48+J48)*'0. Control Panel'!$G9)+(($L61-P61)*($F61+J61)*'0. Control Panel'!$G9)+(($L74-P74)*($F74+J74)*'0. Control Panel'!$G9)+(($L87-P87)*($F87+J87)*'0. Control Panel'!$G9)+(($L100-P100)*($F100+J100)*'0. Control Panel'!$G9)+(($L113-P113)*($F113+J113)*'0. Control Panel'!$G9)+(($L126-P126)*($F126+J126)*'0. Control Panel'!$G9),0)</f>
        <v>0</v>
      </c>
      <c r="W138" s="74"/>
    </row>
    <row r="139" spans="1:23" hidden="1" x14ac:dyDescent="0.25">
      <c r="C139" s="174">
        <f>IF(C138="-","-",IF(C138+1&gt;COUNTA('0. Control Panel'!$C$7:$C$16),"-",'2. Customer Benefit Input'!C138+1))</f>
        <v>4</v>
      </c>
      <c r="D139" s="213" t="str">
        <f>IF(C139="-","-",INDEX('0. Control Panel'!$B$6:$K$16,MATCH('2. Customer Benefit Input'!$C139,'0. Control Panel'!$B$6:$B$16,0),MATCH(D$6,'0. Control Panel'!$B$6:$K$6,0)))</f>
        <v>Product B</v>
      </c>
      <c r="F139" s="194">
        <f t="shared" si="42"/>
        <v>89.1</v>
      </c>
      <c r="H139" s="121">
        <f t="shared" si="44"/>
        <v>-5</v>
      </c>
      <c r="I139" s="121">
        <f t="shared" si="44"/>
        <v>-10</v>
      </c>
      <c r="J139" s="121">
        <f t="shared" si="44"/>
        <v>-31</v>
      </c>
      <c r="L139" s="171" t="str">
        <f t="shared" si="45"/>
        <v>Product B</v>
      </c>
      <c r="N139" s="121">
        <f>IFERROR(($L10-N10)*($F10+H10)*'0. Control Panel'!$G10+(($L23-N23)*($F23+H23)*'0. Control Panel'!$G10)+(($L36-N36)*($F36+H36)*'0. Control Panel'!$G10)+(($L49-N49)*($F49+H49)*'0. Control Panel'!$G10)+(($L62-N62)*($F62+H62)*'0. Control Panel'!$G10)+(($L75-N75)*($F75+H75)*'0. Control Panel'!$G10)+(($L88-N88)*($F88+H88)*'0. Control Panel'!$G10)+(($L101-N101)*($F101+H101)*'0. Control Panel'!$G10)+(($L114-N114)*($F114+H114)*'0. Control Panel'!$G10)+(($L127-N127)*($F127+H127)*'0. Control Panel'!$G10),0)</f>
        <v>0</v>
      </c>
      <c r="O139" s="121">
        <f>IFERROR(($L10-O10)*($F10+I10)*'0. Control Panel'!$G10+(($L23-O23)*($F23+I23)*'0. Control Panel'!$G10)+(($L36-O36)*($F36+I36)*'0. Control Panel'!$G10)+(($L49-O49)*($F49+I49)*'0. Control Panel'!$G10)+(($L62-O62)*($F62+I62)*'0. Control Panel'!$G10)+(($L75-O75)*($F75+I75)*'0. Control Panel'!$G10)+(($L88-O88)*($F88+I88)*'0. Control Panel'!$G10)+(($L101-O101)*($F101+I101)*'0. Control Panel'!$G10)+(($L114-O114)*($F114+I114)*'0. Control Panel'!$G10)+(($L127-O127)*($F127+I127)*'0. Control Panel'!$G10),0)</f>
        <v>0</v>
      </c>
      <c r="P139" s="121">
        <f>IFERROR(($L10-P10)*($F10+J10)*'0. Control Panel'!$G10+(($L23-P23)*($F23+J23)*'0. Control Panel'!$G10)+(($L36-P36)*($F36+J36)*'0. Control Panel'!$G10)+(($L49-P49)*($F49+J49)*'0. Control Panel'!$G10)+(($L62-P62)*($F62+J62)*'0. Control Panel'!$G10)+(($L75-P75)*($F75+J75)*'0. Control Panel'!$G10)+(($L88-P88)*($F88+J88)*'0. Control Panel'!$G10)+(($L101-P101)*($F101+J101)*'0. Control Panel'!$G10)+(($L114-P114)*($F114+J114)*'0. Control Panel'!$G10)+(($L127-P127)*($F127+J127)*'0. Control Panel'!$G10),0)</f>
        <v>0</v>
      </c>
      <c r="W139" s="74"/>
    </row>
    <row r="140" spans="1:23" hidden="1" x14ac:dyDescent="0.25">
      <c r="C140" s="174">
        <f>IF(C139="-","-",IF(C139+1&gt;COUNTA('0. Control Panel'!$C$7:$C$16),"-",'2. Customer Benefit Input'!C139+1))</f>
        <v>5</v>
      </c>
      <c r="D140" s="213" t="str">
        <f>IF(C140="-","-",INDEX('0. Control Panel'!$B$6:$K$16,MATCH('2. Customer Benefit Input'!$C140,'0. Control Panel'!$B$6:$B$16,0),MATCH(D$6,'0. Control Panel'!$B$6:$K$6,0)))</f>
        <v>R&amp;D</v>
      </c>
      <c r="F140" s="194">
        <f t="shared" si="42"/>
        <v>16.2</v>
      </c>
      <c r="H140" s="121">
        <f t="shared" si="44"/>
        <v>0</v>
      </c>
      <c r="I140" s="121">
        <f t="shared" si="44"/>
        <v>0</v>
      </c>
      <c r="J140" s="121">
        <f t="shared" si="44"/>
        <v>0</v>
      </c>
      <c r="L140" s="171" t="str">
        <f t="shared" si="45"/>
        <v>R&amp;D</v>
      </c>
      <c r="N140" s="121">
        <f>IFERROR(($L11-N11)*($F11+H11)*'0. Control Panel'!$G11+(($L24-N24)*($F24+H24)*'0. Control Panel'!$G11)+(($L37-N37)*($F37+H37)*'0. Control Panel'!$G11)+(($L50-N50)*($F50+H50)*'0. Control Panel'!$G11)+(($L63-N63)*($F63+H63)*'0. Control Panel'!$G11)+(($L76-N76)*($F76+H76)*'0. Control Panel'!$G11)+(($L89-N89)*($F89+H89)*'0. Control Panel'!$G11)+(($L102-N102)*($F102+H102)*'0. Control Panel'!$G11)+(($L115-N115)*($F115+H115)*'0. Control Panel'!$G11)+(($L128-N128)*($F128+H128)*'0. Control Panel'!$G11),0)</f>
        <v>0</v>
      </c>
      <c r="O140" s="121">
        <f>IFERROR(($L11-O11)*($F11+I11)*'0. Control Panel'!$G11+(($L24-O24)*($F24+I24)*'0. Control Panel'!$G11)+(($L37-O37)*($F37+I37)*'0. Control Panel'!$G11)+(($L50-O50)*($F50+I50)*'0. Control Panel'!$G11)+(($L63-O63)*($F63+I63)*'0. Control Panel'!$G11)+(($L76-O76)*($F76+I76)*'0. Control Panel'!$G11)+(($L89-O89)*($F89+I89)*'0. Control Panel'!$G11)+(($L102-O102)*($F102+I102)*'0. Control Panel'!$G11)+(($L115-O115)*($F115+I115)*'0. Control Panel'!$G11)+(($L128-O128)*($F128+I128)*'0. Control Panel'!$G11),0)</f>
        <v>0</v>
      </c>
      <c r="P140" s="121">
        <f>IFERROR(($L11-P11)*($F11+J11)*'0. Control Panel'!$G11+(($L24-P24)*($F24+J24)*'0. Control Panel'!$G11)+(($L37-P37)*($F37+J37)*'0. Control Panel'!$G11)+(($L50-P50)*($F50+J50)*'0. Control Panel'!$G11)+(($L63-P63)*($F63+J63)*'0. Control Panel'!$G11)+(($L76-P76)*($F76+J76)*'0. Control Panel'!$G11)+(($L89-P89)*($F89+J89)*'0. Control Panel'!$G11)+(($L102-P102)*($F102+J102)*'0. Control Panel'!$G11)+(($L115-P115)*($F115+J115)*'0. Control Panel'!$G11)+(($L128-P128)*($F128+J128)*'0. Control Panel'!$G11),0)</f>
        <v>0</v>
      </c>
      <c r="W140" s="74"/>
    </row>
    <row r="141" spans="1:23" hidden="1" x14ac:dyDescent="0.25">
      <c r="C141" s="174">
        <f>IF(C140="-","-",IF(C140+1&gt;COUNTA('0. Control Panel'!$C$7:$C$16),"-",'2. Customer Benefit Input'!C140+1))</f>
        <v>6</v>
      </c>
      <c r="D141" s="213" t="str">
        <f>IF(C141="-","-",INDEX('0. Control Panel'!$B$6:$K$16,MATCH('2. Customer Benefit Input'!$C141,'0. Control Panel'!$B$6:$B$16,0),MATCH(D$6,'0. Control Panel'!$B$6:$K$6,0)))</f>
        <v>HR</v>
      </c>
      <c r="F141" s="194">
        <f t="shared" si="42"/>
        <v>42.525000000000006</v>
      </c>
      <c r="H141" s="121">
        <f t="shared" si="44"/>
        <v>-5</v>
      </c>
      <c r="I141" s="121">
        <f t="shared" si="44"/>
        <v>-9</v>
      </c>
      <c r="J141" s="121">
        <f t="shared" si="44"/>
        <v>-14</v>
      </c>
      <c r="L141" s="171" t="str">
        <f t="shared" si="45"/>
        <v>HR</v>
      </c>
      <c r="N141" s="121">
        <f>IFERROR(($L12-N12)*($F12+H12)*'0. Control Panel'!$G12+(($L25-N25)*($F25+H25)*'0. Control Panel'!$G12)+(($L38-N38)*($F38+H38)*'0. Control Panel'!$G12)+(($L51-N51)*($F51+H51)*'0. Control Panel'!$G12)+(($L64-N64)*($F64+H64)*'0. Control Panel'!$G12)+(($L77-N77)*($F77+H77)*'0. Control Panel'!$G12)+(($L90-N90)*($F90+H90)*'0. Control Panel'!$G12)+(($L103-N103)*($F103+H103)*'0. Control Panel'!$G12)+(($L116-N116)*($F116+H116)*'0. Control Panel'!$G12)+(($L129-N129)*($F129+H129)*'0. Control Panel'!$G12),0)</f>
        <v>0</v>
      </c>
      <c r="O141" s="121">
        <f>IFERROR(($L12-O12)*($F12+I12)*'0. Control Panel'!$G12+(($L25-O25)*($F25+I25)*'0. Control Panel'!$G12)+(($L38-O38)*($F38+I38)*'0. Control Panel'!$G12)+(($L51-O51)*($F51+I51)*'0. Control Panel'!$G12)+(($L64-O64)*($F64+I64)*'0. Control Panel'!$G12)+(($L77-O77)*($F77+I77)*'0. Control Panel'!$G12)+(($L90-O90)*($F90+I90)*'0. Control Panel'!$G12)+(($L103-O103)*($F103+I103)*'0. Control Panel'!$G12)+(($L116-O116)*($F116+I116)*'0. Control Panel'!$G12)+(($L129-O129)*($F129+I129)*'0. Control Panel'!$G12),0)</f>
        <v>7.56</v>
      </c>
      <c r="P141" s="121">
        <f>IFERROR(($L12-P12)*($F12+J12)*'0. Control Panel'!$G12+(($L25-P25)*($F25+J25)*'0. Control Panel'!$G12)+(($L38-P38)*($F38+J38)*'0. Control Panel'!$G12)+(($L51-P51)*($F51+J51)*'0. Control Panel'!$G12)+(($L64-P64)*($F64+J64)*'0. Control Panel'!$G12)+(($L77-P77)*($F77+J77)*'0. Control Panel'!$G12)+(($L90-P90)*($F90+J90)*'0. Control Panel'!$G12)+(($L103-P103)*($F103+J103)*'0. Control Panel'!$G12)+(($L116-P116)*($F116+J116)*'0. Control Panel'!$G12)+(($L129-P129)*($F129+J129)*'0. Control Panel'!$G12),0)</f>
        <v>15.120000000000003</v>
      </c>
      <c r="W141" s="74"/>
    </row>
    <row r="142" spans="1:23" hidden="1" x14ac:dyDescent="0.25">
      <c r="C142" s="174">
        <f>IF(C141="-","-",IF(C141+1&gt;COUNTA('0. Control Panel'!$C$7:$C$16),"-",'2. Customer Benefit Input'!C141+1))</f>
        <v>7</v>
      </c>
      <c r="D142" s="213" t="str">
        <f>IF(C142="-","-",INDEX('0. Control Panel'!$B$6:$K$16,MATCH('2. Customer Benefit Input'!$C142,'0. Control Panel'!$B$6:$B$16,0),MATCH(D$6,'0. Control Panel'!$B$6:$K$6,0)))</f>
        <v>Finance</v>
      </c>
      <c r="F142" s="194">
        <f t="shared" si="42"/>
        <v>48.6</v>
      </c>
      <c r="H142" s="121">
        <f t="shared" si="44"/>
        <v>-2</v>
      </c>
      <c r="I142" s="121">
        <f t="shared" si="44"/>
        <v>-4</v>
      </c>
      <c r="J142" s="121">
        <f t="shared" si="44"/>
        <v>-8</v>
      </c>
      <c r="L142" s="171" t="str">
        <f t="shared" si="45"/>
        <v>Finance</v>
      </c>
      <c r="N142" s="121">
        <f>IFERROR(($L13-N13)*($F13+H13)*'0. Control Panel'!$G13+(($L26-N26)*($F26+H26)*'0. Control Panel'!$G13)+(($L39-N39)*($F39+H39)*'0. Control Panel'!$G13)+(($L52-N52)*($F52+H52)*'0. Control Panel'!$G13)+(($L65-N65)*($F65+H65)*'0. Control Panel'!$G13)+(($L78-N78)*($F78+H78)*'0. Control Panel'!$G13)+(($L91-N91)*($F91+H91)*'0. Control Panel'!$G13)+(($L104-N104)*($F104+H104)*'0. Control Panel'!$G13)+(($L117-N117)*($F117+H117)*'0. Control Panel'!$G13)+(($L130-N130)*($F130+H130)*'0. Control Panel'!$G13),0)</f>
        <v>24.300000000000026</v>
      </c>
      <c r="O142" s="121">
        <f>IFERROR(($L13-O13)*($F13+I13)*'0. Control Panel'!$G13+(($L26-O26)*($F26+I26)*'0. Control Panel'!$G13)+(($L39-O39)*($F39+I39)*'0. Control Panel'!$G13)+(($L52-O52)*($F52+I52)*'0. Control Panel'!$G13)+(($L65-O65)*($F65+I65)*'0. Control Panel'!$G13)+(($L78-O78)*($F78+I78)*'0. Control Panel'!$G13)+(($L91-O91)*($F91+I91)*'0. Control Panel'!$G13)+(($L104-O104)*($F104+I104)*'0. Control Panel'!$G13)+(($L117-O117)*($F117+I117)*'0. Control Panel'!$G13)+(($L130-O130)*($F130+I130)*'0. Control Panel'!$G13),0)</f>
        <v>86.1</v>
      </c>
      <c r="P142" s="121">
        <f>IFERROR(($L13-P13)*($F13+J13)*'0. Control Panel'!$G13+(($L26-P26)*($F26+J26)*'0. Control Panel'!$G13)+(($L39-P39)*($F39+J39)*'0. Control Panel'!$G13)+(($L52-P52)*($F52+J52)*'0. Control Panel'!$G13)+(($L65-P65)*($F65+J65)*'0. Control Panel'!$G13)+(($L78-P78)*($F78+J78)*'0. Control Panel'!$G13)+(($L91-P91)*($F91+J91)*'0. Control Panel'!$G13)+(($L104-P104)*($F104+J104)*'0. Control Panel'!$G13)+(($L117-P117)*($F117+J117)*'0. Control Panel'!$G13)+(($L130-P130)*($F130+J130)*'0. Control Panel'!$G13),0)</f>
        <v>166.20000000000002</v>
      </c>
      <c r="W142" s="74"/>
    </row>
    <row r="143" spans="1:23" hidden="1" x14ac:dyDescent="0.25">
      <c r="C143" s="174">
        <f>IF(C142="-","-",IF(C142+1&gt;COUNTA('0. Control Panel'!$C$7:$C$16),"-",'2. Customer Benefit Input'!C142+1))</f>
        <v>8</v>
      </c>
      <c r="D143" s="213" t="str">
        <f>IF(C143="-","-",INDEX('0. Control Panel'!$B$6:$K$16,MATCH('2. Customer Benefit Input'!$C143,'0. Control Panel'!$B$6:$B$16,0),MATCH(D$6,'0. Control Panel'!$B$6:$K$6,0)))</f>
        <v>Head Office</v>
      </c>
      <c r="F143" s="194">
        <f t="shared" si="42"/>
        <v>24.299999999999997</v>
      </c>
      <c r="H143" s="121">
        <f t="shared" si="44"/>
        <v>0</v>
      </c>
      <c r="I143" s="121">
        <f t="shared" si="44"/>
        <v>-1</v>
      </c>
      <c r="J143" s="121">
        <f t="shared" si="44"/>
        <v>-2</v>
      </c>
      <c r="L143" s="171" t="str">
        <f t="shared" si="45"/>
        <v>Head Office</v>
      </c>
      <c r="N143" s="121">
        <f>IFERROR(($L14-N14)*($F14+H14)*'0. Control Panel'!$G14+(($L27-N27)*($F27+H27)*'0. Control Panel'!$G14)+(($L40-N40)*($F40+H40)*'0. Control Panel'!$G14)+(($L53-N53)*($F53+H53)*'0. Control Panel'!$G14)+(($L66-N66)*($F66+H66)*'0. Control Panel'!$G14)+(($L79-N79)*($F79+H79)*'0. Control Panel'!$G14)+(($L92-N92)*($F92+H92)*'0. Control Panel'!$G14)+(($L105-N105)*($F105+H105)*'0. Control Panel'!$G14)+(($L118-N118)*($F118+H118)*'0. Control Panel'!$G14)+(($L131-N131)*($F131+H131)*'0. Control Panel'!$G14),0)</f>
        <v>12.959999999999997</v>
      </c>
      <c r="O143" s="121">
        <f>IFERROR(($L14-O14)*($F14+I14)*'0. Control Panel'!$G14+(($L27-O27)*($F27+I27)*'0. Control Panel'!$G14)+(($L40-O40)*($F40+I40)*'0. Control Panel'!$G14)+(($L53-O53)*($F53+I53)*'0. Control Panel'!$G14)+(($L66-O66)*($F66+I66)*'0. Control Panel'!$G14)+(($L79-O79)*($F79+I79)*'0. Control Panel'!$G14)+(($L92-O92)*($F92+I92)*'0. Control Panel'!$G14)+(($L105-O105)*($F105+I105)*'0. Control Panel'!$G14)+(($L118-O118)*($F118+I118)*'0. Control Panel'!$G14)+(($L131-O131)*($F131+I131)*'0. Control Panel'!$G14),0)</f>
        <v>29.979999999999993</v>
      </c>
      <c r="P143" s="121">
        <f>IFERROR(($L14-P14)*($F14+J14)*'0. Control Panel'!$G14+(($L27-P27)*($F27+J27)*'0. Control Panel'!$G14)+(($L40-P40)*($F40+J40)*'0. Control Panel'!$G14)+(($L53-P53)*($F53+J53)*'0. Control Panel'!$G14)+(($L66-P66)*($F66+J66)*'0. Control Panel'!$G14)+(($L79-P79)*($F79+J79)*'0. Control Panel'!$G14)+(($L92-P92)*($F92+J92)*'0. Control Panel'!$G14)+(($L105-P105)*($F105+J105)*'0. Control Panel'!$G14)+(($L118-P118)*($F118+J118)*'0. Control Panel'!$G14)+(($L131-P131)*($F131+J131)*'0. Control Panel'!$G14),0)</f>
        <v>58.360000000000007</v>
      </c>
      <c r="W143" s="74"/>
    </row>
    <row r="144" spans="1:23" hidden="1" x14ac:dyDescent="0.25">
      <c r="C144" s="174" t="str">
        <f>IF(C143="-","-",IF(C143+1&gt;COUNTA('0. Control Panel'!$C$7:$C$16),"-",'2. Customer Benefit Input'!C143+1))</f>
        <v>-</v>
      </c>
      <c r="D144" s="213" t="str">
        <f>IF(C144="-","-",INDEX('0. Control Panel'!$B$6:$K$16,MATCH('2. Customer Benefit Input'!$C144,'0. Control Panel'!$B$6:$B$16,0),MATCH(D$6,'0. Control Panel'!$B$6:$K$6,0)))</f>
        <v>-</v>
      </c>
      <c r="F144" s="194">
        <f t="shared" si="42"/>
        <v>0</v>
      </c>
      <c r="H144" s="121">
        <f t="shared" si="44"/>
        <v>0</v>
      </c>
      <c r="I144" s="121">
        <f t="shared" si="44"/>
        <v>0</v>
      </c>
      <c r="J144" s="121">
        <f t="shared" si="44"/>
        <v>0</v>
      </c>
      <c r="L144" s="171" t="str">
        <f t="shared" si="45"/>
        <v>-</v>
      </c>
      <c r="N144" s="121">
        <f>IFERROR(($L15-N15)*($F15+H15)*'0. Control Panel'!$G15+(($L28-N28)*($F28+H28)*'0. Control Panel'!$G15)+(($L41-N41)*($F41+H41)*'0. Control Panel'!$G15)+(($L54-N54)*($F54+H54)*'0. Control Panel'!$G15)+(($L67-N67)*($F67+H67)*'0. Control Panel'!$G15)+(($L80-N80)*($F80+H80)*'0. Control Panel'!$G15)+(($L93-N93)*($F93+H93)*'0. Control Panel'!$G15)+(($L106-N106)*($F106+H106)*'0. Control Panel'!$G15)+(($L119-N119)*($F119+H119)*'0. Control Panel'!$G15)+(($L132-N132)*($F132+H132)*'0. Control Panel'!$G15),0)</f>
        <v>0</v>
      </c>
      <c r="O144" s="121">
        <f>IFERROR(($L15-O15)*($F15+I15)*'0. Control Panel'!$G15+(($L28-O28)*($F28+I28)*'0. Control Panel'!$G15)+(($L41-O41)*($F41+I41)*'0. Control Panel'!$G15)+(($L54-O54)*($F54+I54)*'0. Control Panel'!$G15)+(($L67-O67)*($F67+I67)*'0. Control Panel'!$G15)+(($L80-O80)*($F80+I80)*'0. Control Panel'!$G15)+(($L93-O93)*($F93+I93)*'0. Control Panel'!$G15)+(($L106-O106)*($F106+I106)*'0. Control Panel'!$G15)+(($L119-O119)*($F119+I119)*'0. Control Panel'!$G15)+(($L132-O132)*($F132+I132)*'0. Control Panel'!$G15),0)</f>
        <v>0</v>
      </c>
      <c r="P144" s="121">
        <f>IFERROR(($L15-P15)*($F15+J15)*'0. Control Panel'!$G15+(($L28-P28)*($F28+J28)*'0. Control Panel'!$G15)+(($L41-P41)*($F41+J41)*'0. Control Panel'!$G15)+(($L54-P54)*($F54+J54)*'0. Control Panel'!$G15)+(($L67-P67)*($F67+J67)*'0. Control Panel'!$G15)+(($L80-P80)*($F80+J80)*'0. Control Panel'!$G15)+(($L93-P93)*($F93+J93)*'0. Control Panel'!$G15)+(($L106-P106)*($F106+J106)*'0. Control Panel'!$G15)+(($L119-P119)*($F119+J119)*'0. Control Panel'!$G15)+(($L132-P132)*($F132+J132)*'0. Control Panel'!$G15),0)</f>
        <v>0</v>
      </c>
      <c r="W144" s="74"/>
    </row>
    <row r="145" spans="3:23" hidden="1" x14ac:dyDescent="0.25">
      <c r="C145" s="175" t="str">
        <f>IF(C144="-","-",IF(C144+1&gt;COUNTA('0. Control Panel'!$C$7:$C$16),"-",'2. Customer Benefit Input'!C144+1))</f>
        <v>-</v>
      </c>
      <c r="D145" s="176" t="str">
        <f>IF(C145="-","-",INDEX('0. Control Panel'!$B$6:$K$16,MATCH('2. Customer Benefit Input'!$C145,'0. Control Panel'!$B$6:$B$16,0),MATCH(D$6,'0. Control Panel'!$B$6:$K$6,0)))</f>
        <v>-</v>
      </c>
      <c r="F145" s="194">
        <f t="shared" si="42"/>
        <v>0</v>
      </c>
      <c r="H145" s="121">
        <f t="shared" si="44"/>
        <v>0</v>
      </c>
      <c r="I145" s="121">
        <f t="shared" si="44"/>
        <v>0</v>
      </c>
      <c r="J145" s="121">
        <f t="shared" si="44"/>
        <v>0</v>
      </c>
      <c r="L145" s="171" t="str">
        <f t="shared" si="45"/>
        <v>-</v>
      </c>
      <c r="N145" s="121">
        <f>IFERROR(($L16-N16)*($F16+H16)*'0. Control Panel'!$G16+(($L29-N29)*($F29+H29)*'0. Control Panel'!$G16)+(($L42-N42)*($F42+H42)*'0. Control Panel'!$G16)+(($L55-N55)*($F55+H55)*'0. Control Panel'!$G16)+(($L68-N68)*($F68+H68)*'0. Control Panel'!$G16)+(($L81-N81)*($F81+H81)*'0. Control Panel'!$G16)+(($L94-N94)*($F94+H94)*'0. Control Panel'!$G16)+(($L107-N107)*($F107+H107)*'0. Control Panel'!$G16)+(($L120-N120)*($F120+H120)*'0. Control Panel'!$G16)+(($L133-N133)*($F133+H133)*'0. Control Panel'!$G16),0)</f>
        <v>0</v>
      </c>
      <c r="O145" s="121">
        <f>IFERROR(($L16-O16)*($F16+I16)*'0. Control Panel'!$G16+(($L29-O29)*($F29+I29)*'0. Control Panel'!$G16)+(($L42-O42)*($F42+I42)*'0. Control Panel'!$G16)+(($L55-O55)*($F55+I55)*'0. Control Panel'!$G16)+(($L68-O68)*($F68+I68)*'0. Control Panel'!$G16)+(($L81-O81)*($F81+I81)*'0. Control Panel'!$G16)+(($L94-O94)*($F94+I94)*'0. Control Panel'!$G16)+(($L107-O107)*($F107+I107)*'0. Control Panel'!$G16)+(($L120-O120)*($F120+I120)*'0. Control Panel'!$G16)+(($L133-O133)*($F133+I133)*'0. Control Panel'!$G16),0)</f>
        <v>0</v>
      </c>
      <c r="P145" s="121">
        <f>IFERROR(($L16-P16)*($F16+J16)*'0. Control Panel'!$G16+(($L29-P29)*($F29+J29)*'0. Control Panel'!$G16)+(($L42-P42)*($F42+J42)*'0. Control Panel'!$G16)+(($L55-P55)*($F55+J55)*'0. Control Panel'!$G16)+(($L68-P68)*($F68+J68)*'0. Control Panel'!$G16)+(($L81-P81)*($F81+J81)*'0. Control Panel'!$G16)+(($L94-P94)*($F94+J94)*'0. Control Panel'!$G16)+(($L107-P107)*($F107+J107)*'0. Control Panel'!$G16)+(($L120-P120)*($F120+J120)*'0. Control Panel'!$G16)+(($L133-P133)*($F133+J133)*'0. Control Panel'!$G16),0)</f>
        <v>0</v>
      </c>
      <c r="W145" s="74"/>
    </row>
    <row r="146" spans="3:23" hidden="1" x14ac:dyDescent="0.25">
      <c r="D146" s="74" t="str">
        <f>"All "&amp;$D$6</f>
        <v>All Departments/Functions</v>
      </c>
      <c r="F146" s="194">
        <f>SUM(F136:F145)</f>
        <v>463.05</v>
      </c>
      <c r="H146" s="121">
        <f t="shared" ref="H146:J146" si="46">SUM(H136:H145)</f>
        <v>-17</v>
      </c>
      <c r="I146" s="121">
        <f t="shared" si="46"/>
        <v>-49</v>
      </c>
      <c r="J146" s="121">
        <f t="shared" si="46"/>
        <v>-109</v>
      </c>
      <c r="L146" s="171" t="str">
        <f t="shared" si="45"/>
        <v>All Departments/Functions</v>
      </c>
      <c r="N146" s="121">
        <f t="shared" ref="N146" si="47">SUM(N136:N145)</f>
        <v>37.260000000000019</v>
      </c>
      <c r="O146" s="121">
        <f t="shared" ref="O146" si="48">SUM(O136:O145)</f>
        <v>222.92000000000004</v>
      </c>
      <c r="P146" s="121">
        <f t="shared" ref="P146" si="49">SUM(P136:P145)</f>
        <v>352.44000000000005</v>
      </c>
      <c r="W146" s="74"/>
    </row>
    <row r="148" spans="3:23" ht="16.5" thickBot="1" x14ac:dyDescent="0.3">
      <c r="C148" s="87"/>
      <c r="D148" s="87"/>
      <c r="E148" s="87"/>
      <c r="F148" s="219"/>
      <c r="G148" s="87"/>
      <c r="H148" s="87"/>
      <c r="I148" s="87"/>
      <c r="J148" s="87"/>
      <c r="K148" s="87"/>
      <c r="L148" s="87"/>
      <c r="M148" s="87"/>
      <c r="N148" s="87"/>
      <c r="O148" s="87"/>
      <c r="P148" s="87"/>
      <c r="Q148" s="87"/>
      <c r="R148" s="87"/>
      <c r="S148" s="87"/>
      <c r="T148" s="87"/>
      <c r="U148" s="87"/>
      <c r="V148" s="87"/>
    </row>
    <row r="149" spans="3:23" ht="16.5" thickTop="1" x14ac:dyDescent="0.25"/>
  </sheetData>
  <sheetProtection algorithmName="SHA-512" hashValue="64sJLBGBJWBPyH4SctucsD4l9yXhu2ciPCvSHuodJ/79k226a9SvaYqrPrc6Ymgj4Pkp4ihMXg45M6HZyyzfDQ==" saltValue="RD869+kq9qyDfdBGjDvb3A==" spinCount="100000" sheet="1" objects="1" scenarios="1" selectLockedCells="1" selectUnlockedCells="1"/>
  <mergeCells count="3">
    <mergeCell ref="H3:J3"/>
    <mergeCell ref="N3:P3"/>
    <mergeCell ref="T3:V3"/>
  </mergeCells>
  <pageMargins left="0.7" right="0.7" top="0.75" bottom="0.75" header="0.3" footer="0.3"/>
  <ignoredErrors>
    <ignoredError sqref="N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5"/>
  <sheetViews>
    <sheetView showGridLines="0" workbookViewId="0">
      <pane xSplit="5" ySplit="4" topLeftCell="F5" activePane="bottomRight" state="frozen"/>
      <selection activeCell="H11" sqref="H11"/>
      <selection pane="topRight" activeCell="H11" sqref="H11"/>
      <selection pane="bottomLeft" activeCell="H11" sqref="H11"/>
      <selection pane="bottomRight" activeCell="S4" sqref="S4"/>
    </sheetView>
  </sheetViews>
  <sheetFormatPr defaultColWidth="11" defaultRowHeight="15.75" x14ac:dyDescent="0.25"/>
  <cols>
    <col min="1" max="1" width="12" hidden="1" customWidth="1"/>
    <col min="2" max="2" width="4.5" customWidth="1"/>
    <col min="3" max="3" width="8.125" style="1" bestFit="1" customWidth="1"/>
    <col min="4" max="4" width="36" style="1" customWidth="1"/>
    <col min="5" max="6" width="1.375" style="1" customWidth="1"/>
    <col min="7" max="9" width="12" style="1" customWidth="1"/>
    <col min="10" max="10" width="1.375" style="1" customWidth="1"/>
    <col min="11" max="13" width="12" style="1" customWidth="1"/>
    <col min="14" max="14" width="1.375" style="1" customWidth="1"/>
    <col min="15" max="17" width="12" style="1" customWidth="1"/>
    <col min="18" max="18" width="1.375" style="1" customWidth="1"/>
    <col min="19" max="21" width="12" style="1" customWidth="1"/>
    <col min="24" max="24" width="1.375" customWidth="1"/>
  </cols>
  <sheetData>
    <row r="1" spans="1:27" hidden="1" x14ac:dyDescent="0.25">
      <c r="G1" s="1" t="str">
        <f>$G$3&amp;G4</f>
        <v>FTE Cost SavingsConservative</v>
      </c>
      <c r="H1" s="1" t="str">
        <f>$G$3&amp;H4</f>
        <v>FTE Cost SavingsPragmatic</v>
      </c>
      <c r="I1" s="1" t="str">
        <f t="shared" ref="I1" si="0">$G$3&amp;I4</f>
        <v>FTE Cost SavingsAggressive</v>
      </c>
      <c r="K1" s="1" t="str">
        <f>$K$3&amp;K4</f>
        <v>Timesheet Cost SavingsConservative</v>
      </c>
      <c r="L1" s="1" t="str">
        <f>$K$3&amp;L4</f>
        <v>Timesheet Cost SavingsPragmatic</v>
      </c>
      <c r="M1" s="1" t="str">
        <f t="shared" ref="M1" si="1">$K$3&amp;M4</f>
        <v>Timesheet Cost SavingsAggressive</v>
      </c>
      <c r="O1" s="1" t="str">
        <f>$O$3&amp;O4</f>
        <v>Expected Increased Revenue post MDMConservative</v>
      </c>
      <c r="P1" s="1" t="str">
        <f t="shared" ref="P1:Q1" si="2">$O$3&amp;P4</f>
        <v>Expected Increased Revenue post MDMPragmatic</v>
      </c>
      <c r="Q1" s="1" t="str">
        <f t="shared" si="2"/>
        <v>Expected Increased Revenue post MDMAggressive</v>
      </c>
      <c r="S1" s="1" t="str">
        <f>$S$3&amp;S4</f>
        <v>Total MDM Benefit ImpactConservative</v>
      </c>
      <c r="T1" s="1" t="str">
        <f t="shared" ref="T1:U1" si="3">$S$3&amp;T4</f>
        <v>Total MDM Benefit ImpactPragmatic</v>
      </c>
      <c r="U1" s="1" t="str">
        <f t="shared" si="3"/>
        <v>Total MDM Benefit ImpactAggressive</v>
      </c>
    </row>
    <row r="2" spans="1:27" x14ac:dyDescent="0.25">
      <c r="D2" s="10"/>
    </row>
    <row r="3" spans="1:27" ht="15.95" customHeight="1" x14ac:dyDescent="0.25">
      <c r="G3" s="324" t="s">
        <v>74</v>
      </c>
      <c r="H3" s="324"/>
      <c r="I3" s="324"/>
      <c r="J3" s="2"/>
      <c r="K3" s="324" t="s">
        <v>73</v>
      </c>
      <c r="L3" s="324"/>
      <c r="M3" s="324"/>
      <c r="N3" s="8"/>
      <c r="O3" s="324" t="s">
        <v>68</v>
      </c>
      <c r="P3" s="324"/>
      <c r="Q3" s="324"/>
      <c r="R3" s="8"/>
      <c r="S3" s="324" t="s">
        <v>190</v>
      </c>
      <c r="T3" s="324"/>
      <c r="U3" s="324"/>
    </row>
    <row r="4" spans="1:27" x14ac:dyDescent="0.25">
      <c r="B4" s="1"/>
      <c r="G4" s="31" t="str">
        <f>'0. Control Panel'!$C$44</f>
        <v>Conservative</v>
      </c>
      <c r="H4" s="32" t="str">
        <f>'0. Control Panel'!$C$45</f>
        <v>Pragmatic</v>
      </c>
      <c r="I4" s="33" t="str">
        <f>'0. Control Panel'!$C$46</f>
        <v>Aggressive</v>
      </c>
      <c r="J4" s="2"/>
      <c r="K4" s="31" t="str">
        <f>'0. Control Panel'!$C$44</f>
        <v>Conservative</v>
      </c>
      <c r="L4" s="32" t="str">
        <f>'0. Control Panel'!$C$45</f>
        <v>Pragmatic</v>
      </c>
      <c r="M4" s="33" t="str">
        <f>'0. Control Panel'!$C$46</f>
        <v>Aggressive</v>
      </c>
      <c r="N4" s="8"/>
      <c r="O4" s="31" t="str">
        <f>'0. Control Panel'!$C$44</f>
        <v>Conservative</v>
      </c>
      <c r="P4" s="32" t="str">
        <f>'0. Control Panel'!$C$45</f>
        <v>Pragmatic</v>
      </c>
      <c r="Q4" s="33" t="str">
        <f>'0. Control Panel'!$C$46</f>
        <v>Aggressive</v>
      </c>
      <c r="R4" s="21"/>
      <c r="S4" s="31" t="str">
        <f>'0. Control Panel'!$C$44</f>
        <v>Conservative</v>
      </c>
      <c r="T4" s="32" t="str">
        <f>'0. Control Panel'!$C$45</f>
        <v>Pragmatic</v>
      </c>
      <c r="U4" s="33" t="str">
        <f>'0. Control Panel'!$C$46</f>
        <v>Aggressive</v>
      </c>
    </row>
    <row r="5" spans="1:27" ht="21" x14ac:dyDescent="0.25">
      <c r="B5" s="1"/>
      <c r="C5" s="12" t="s">
        <v>22</v>
      </c>
      <c r="D5" s="30" t="str">
        <f>IF(INDEX('0. Control Panel'!$B$31:$C$41,MATCH('3.1 Product Benefit Output'!$C5,'0. Control Panel'!$B$31:$B$41,0),2)="","n/a",INDEX('0. Control Panel'!$B$31:$C$41,MATCH('3.1 Product Benefit Output'!$C5,'0. Control Panel'!$B$31:$B$41,0),2))</f>
        <v>Reduced Data Management Costs</v>
      </c>
      <c r="G5" s="18"/>
      <c r="H5" s="19"/>
      <c r="I5" s="20"/>
      <c r="K5" s="18"/>
      <c r="L5" s="19"/>
      <c r="M5" s="20"/>
      <c r="O5" s="18"/>
      <c r="P5" s="19"/>
      <c r="Q5" s="20"/>
      <c r="R5" s="9"/>
      <c r="S5" s="18"/>
      <c r="T5" s="19"/>
      <c r="U5" s="20"/>
    </row>
    <row r="6" spans="1:27" x14ac:dyDescent="0.25">
      <c r="B6" s="1"/>
      <c r="D6" s="14" t="str">
        <f>'0. Control Panel'!$C$6</f>
        <v>Departments/Functions</v>
      </c>
      <c r="G6" s="18"/>
      <c r="H6" s="19"/>
      <c r="I6" s="20"/>
      <c r="K6" s="18"/>
      <c r="L6" s="19"/>
      <c r="M6" s="20"/>
      <c r="O6" s="18"/>
      <c r="P6" s="19"/>
      <c r="Q6" s="20"/>
      <c r="R6" s="9"/>
      <c r="S6" s="18"/>
      <c r="T6" s="19"/>
      <c r="U6" s="20"/>
    </row>
    <row r="7" spans="1:27" x14ac:dyDescent="0.25">
      <c r="A7" t="str">
        <f t="shared" ref="A7:A17" si="4">D7&amp;$C$5</f>
        <v>ITP1</v>
      </c>
      <c r="C7" s="5">
        <v>1</v>
      </c>
      <c r="D7" s="15" t="str">
        <f>IF(C7="-","-",INDEX('0. Control Panel'!$B$6:$K$16,MATCH('3.1 Product Benefit Output'!$C7,'0. Control Panel'!$B$6:$B$16,0),MATCH(D$6,'0. Control Panel'!$B$6:$K$6,0)))</f>
        <v>IT</v>
      </c>
      <c r="E7" s="5"/>
      <c r="F7" s="2"/>
      <c r="G7" s="24">
        <f>IFERROR(-VLOOKUP($D7,'0. Control Panel'!$C$7:$F$16,4,FALSE)*(('3. Product Benefit Input'!$F7+'3. Product Benefit Input'!H7)*'3. Product Benefit Input'!$L7)+(VLOOKUP($D7,'0. Control Panel'!$C$7:$F$16,4,FALSE)*('3. Product Benefit Input'!$F7*'3. Product Benefit Input'!$L7)),0)</f>
        <v>0</v>
      </c>
      <c r="H7" s="24">
        <f>IFERROR(-VLOOKUP($D7,'0. Control Panel'!$C$7:$F$16,4,FALSE)*(('3. Product Benefit Input'!$F7+'3. Product Benefit Input'!I7)*'3. Product Benefit Input'!$L7)+(VLOOKUP($D7,'0. Control Panel'!$C$7:$F$16,4,FALSE)*('3. Product Benefit Input'!$F7*'3. Product Benefit Input'!$L7)),0)</f>
        <v>660000.00000000023</v>
      </c>
      <c r="I7" s="24">
        <f>IFERROR(-VLOOKUP($D7,'0. Control Panel'!$C$7:$F$16,4,FALSE)*(('3. Product Benefit Input'!$F7+'3. Product Benefit Input'!J7)*'3. Product Benefit Input'!$L7)+(VLOOKUP($D7,'0. Control Panel'!$C$7:$F$16,4,FALSE)*('3. Product Benefit Input'!$F7*'3. Product Benefit Input'!$L7)),0)</f>
        <v>1276000</v>
      </c>
      <c r="K7" s="24">
        <f>IFERROR((VLOOKUP($D7,'0. Control Panel'!$C$7:$F$16,4,FALSE)*('3. Product Benefit Input'!$F7+'3. Product Benefit Input'!H7)*'3. Product Benefit Input'!$L7)-(VLOOKUP($D7,'0. Control Panel'!$C$7:$F$16,4,FALSE)*('3. Product Benefit Input'!$F7+'3. Product Benefit Input'!H7)*'3. Product Benefit Input'!N7),0)</f>
        <v>0</v>
      </c>
      <c r="L7" s="24">
        <f>IFERROR((VLOOKUP($D7,'0. Control Panel'!$C$7:$F$16,4,FALSE)*('3. Product Benefit Input'!$F7+'3. Product Benefit Input'!I7)*'3. Product Benefit Input'!$L7)-(VLOOKUP($D7,'0. Control Panel'!$C$7:$F$16,4,FALSE)*('3. Product Benefit Input'!$F7+'3. Product Benefit Input'!I7)*'3. Product Benefit Input'!O7),0)</f>
        <v>244200.00000000023</v>
      </c>
      <c r="M7" s="24">
        <f>IFERROR((VLOOKUP($D7,'0. Control Panel'!$C$7:$F$16,4,FALSE)*('3. Product Benefit Input'!$F7+'3. Product Benefit Input'!J7)*'3. Product Benefit Input'!$L7)-(VLOOKUP($D7,'0. Control Panel'!$C$7:$F$16,4,FALSE)*('3. Product Benefit Input'!$F7+'3. Product Benefit Input'!J7)*'3. Product Benefit Input'!P7),0)</f>
        <v>167200.00000000023</v>
      </c>
      <c r="O7" s="24">
        <f>'3. Product Benefit Input'!T7</f>
        <v>250000</v>
      </c>
      <c r="P7" s="24">
        <f>'3. Product Benefit Input'!U7</f>
        <v>350000</v>
      </c>
      <c r="Q7" s="24">
        <f>'3. Product Benefit Input'!V7</f>
        <v>550000</v>
      </c>
      <c r="S7" s="24">
        <f>SUM(G7,K7,O7)</f>
        <v>250000</v>
      </c>
      <c r="T7" s="24">
        <f t="shared" ref="T7" si="5">SUM(H7,L7,P7)</f>
        <v>1254200.0000000005</v>
      </c>
      <c r="U7" s="24">
        <f t="shared" ref="U7" si="6">SUM(I7,M7,Q7)</f>
        <v>1993200.0000000002</v>
      </c>
      <c r="Y7" s="11"/>
      <c r="Z7" s="11"/>
      <c r="AA7" s="11"/>
    </row>
    <row r="8" spans="1:27" x14ac:dyDescent="0.25">
      <c r="A8" t="str">
        <f t="shared" si="4"/>
        <v>SalesP1</v>
      </c>
      <c r="C8" s="6">
        <f>IF(C7="-","-",IF(C7+1&gt;COUNTA('0. Control Panel'!$C$7:$C$16),"-",C7+1))</f>
        <v>2</v>
      </c>
      <c r="D8" s="16" t="str">
        <f>IF(C8="-","-",INDEX('0. Control Panel'!$B$6:$K$16,MATCH('3.1 Product Benefit Output'!$C8,'0. Control Panel'!$B$6:$B$16,0),MATCH(D$6,'0. Control Panel'!$B$6:$K$6,0)))</f>
        <v>Sales</v>
      </c>
      <c r="E8" s="6"/>
      <c r="F8" s="2"/>
      <c r="G8" s="24">
        <f>IFERROR(-VLOOKUP($D8,'0. Control Panel'!$C$7:$F$16,4,FALSE)*(('3. Product Benefit Input'!$F8+'3. Product Benefit Input'!H8)*'3. Product Benefit Input'!$L8)+(VLOOKUP($D8,'0. Control Panel'!$C$7:$F$16,4,FALSE)*('3. Product Benefit Input'!$F8*'3. Product Benefit Input'!$L8)),0)</f>
        <v>0</v>
      </c>
      <c r="H8" s="24">
        <f>IFERROR(-VLOOKUP($D8,'0. Control Panel'!$C$7:$F$16,4,FALSE)*(('3. Product Benefit Input'!$F8+'3. Product Benefit Input'!I8)*'3. Product Benefit Input'!$L8)+(VLOOKUP($D8,'0. Control Panel'!$C$7:$F$16,4,FALSE)*('3. Product Benefit Input'!$F8*'3. Product Benefit Input'!$L8)),0)</f>
        <v>0</v>
      </c>
      <c r="I8" s="24">
        <f>IFERROR(-VLOOKUP($D8,'0. Control Panel'!$C$7:$F$16,4,FALSE)*(('3. Product Benefit Input'!$F8+'3. Product Benefit Input'!J8)*'3. Product Benefit Input'!$L8)+(VLOOKUP($D8,'0. Control Panel'!$C$7:$F$16,4,FALSE)*('3. Product Benefit Input'!$F8*'3. Product Benefit Input'!$L8)),0)</f>
        <v>0</v>
      </c>
      <c r="K8" s="24">
        <f>IFERROR((VLOOKUP($D8,'0. Control Panel'!$C$7:$F$16,4,FALSE)*('3. Product Benefit Input'!$F8+'3. Product Benefit Input'!H8)*'3. Product Benefit Input'!$L8)-(VLOOKUP($D8,'0. Control Panel'!$C$7:$F$16,4,FALSE)*('3. Product Benefit Input'!$F8+'3. Product Benefit Input'!H8)*'3. Product Benefit Input'!N8),0)</f>
        <v>0</v>
      </c>
      <c r="L8" s="24">
        <f>IFERROR((VLOOKUP($D8,'0. Control Panel'!$C$7:$F$16,4,FALSE)*('3. Product Benefit Input'!$F8+'3. Product Benefit Input'!I8)*'3. Product Benefit Input'!$L8)-(VLOOKUP($D8,'0. Control Panel'!$C$7:$F$16,4,FALSE)*('3. Product Benefit Input'!$F8+'3. Product Benefit Input'!I8)*'3. Product Benefit Input'!O8),0)</f>
        <v>0</v>
      </c>
      <c r="M8" s="24">
        <f>IFERROR((VLOOKUP($D8,'0. Control Panel'!$C$7:$F$16,4,FALSE)*('3. Product Benefit Input'!$F8+'3. Product Benefit Input'!J8)*'3. Product Benefit Input'!$L8)-(VLOOKUP($D8,'0. Control Panel'!$C$7:$F$16,4,FALSE)*('3. Product Benefit Input'!$F8+'3. Product Benefit Input'!J8)*'3. Product Benefit Input'!P8),0)</f>
        <v>0</v>
      </c>
      <c r="O8" s="24">
        <f>'3. Product Benefit Input'!T8</f>
        <v>0</v>
      </c>
      <c r="P8" s="24">
        <f>'3. Product Benefit Input'!U8</f>
        <v>0</v>
      </c>
      <c r="Q8" s="24">
        <f>'3. Product Benefit Input'!V8</f>
        <v>0</v>
      </c>
      <c r="S8" s="24">
        <f t="shared" ref="S8:S16" si="7">SUM(G8,K8,O8)</f>
        <v>0</v>
      </c>
      <c r="T8" s="24">
        <f t="shared" ref="T8:T16" si="8">SUM(H8,L8,P8)</f>
        <v>0</v>
      </c>
      <c r="U8" s="24">
        <f t="shared" ref="U8:U16" si="9">SUM(I8,M8,Q8)</f>
        <v>0</v>
      </c>
      <c r="Y8" s="11"/>
      <c r="Z8" s="11"/>
      <c r="AA8" s="11"/>
    </row>
    <row r="9" spans="1:27" x14ac:dyDescent="0.25">
      <c r="A9" t="str">
        <f t="shared" si="4"/>
        <v>Product AP1</v>
      </c>
      <c r="C9" s="6">
        <f>IF(C8="-","-",IF(C8+1&gt;COUNTA('0. Control Panel'!$C$7:$C$16),"-",C8+1))</f>
        <v>3</v>
      </c>
      <c r="D9" s="16" t="str">
        <f>IF(C9="-","-",INDEX('0. Control Panel'!$B$6:$K$16,MATCH('3.1 Product Benefit Output'!$C9,'0. Control Panel'!$B$6:$B$16,0),MATCH(D$6,'0. Control Panel'!$B$6:$K$6,0)))</f>
        <v>Product A</v>
      </c>
      <c r="E9" s="6"/>
      <c r="F9" s="2"/>
      <c r="G9" s="24">
        <f>IFERROR(-VLOOKUP($D9,'0. Control Panel'!$C$7:$F$16,4,FALSE)*(('3. Product Benefit Input'!$F9+'3. Product Benefit Input'!H9)*'3. Product Benefit Input'!$L9)+(VLOOKUP($D9,'0. Control Panel'!$C$7:$F$16,4,FALSE)*('3. Product Benefit Input'!$F9*'3. Product Benefit Input'!$L9)),0)</f>
        <v>0</v>
      </c>
      <c r="H9" s="24">
        <f>IFERROR(-VLOOKUP($D9,'0. Control Panel'!$C$7:$F$16,4,FALSE)*(('3. Product Benefit Input'!$F9+'3. Product Benefit Input'!I9)*'3. Product Benefit Input'!$L9)+(VLOOKUP($D9,'0. Control Panel'!$C$7:$F$16,4,FALSE)*('3. Product Benefit Input'!$F9*'3. Product Benefit Input'!$L9)),0)</f>
        <v>0</v>
      </c>
      <c r="I9" s="24">
        <f>IFERROR(-VLOOKUP($D9,'0. Control Panel'!$C$7:$F$16,4,FALSE)*(('3. Product Benefit Input'!$F9+'3. Product Benefit Input'!J9)*'3. Product Benefit Input'!$L9)+(VLOOKUP($D9,'0. Control Panel'!$C$7:$F$16,4,FALSE)*('3. Product Benefit Input'!$F9*'3. Product Benefit Input'!$L9)),0)</f>
        <v>0</v>
      </c>
      <c r="K9" s="24">
        <f>IFERROR((VLOOKUP($D9,'0. Control Panel'!$C$7:$F$16,4,FALSE)*('3. Product Benefit Input'!$F9+'3. Product Benefit Input'!H9)*'3. Product Benefit Input'!$L9)-(VLOOKUP($D9,'0. Control Panel'!$C$7:$F$16,4,FALSE)*('3. Product Benefit Input'!$F9+'3. Product Benefit Input'!H9)*'3. Product Benefit Input'!N9),0)</f>
        <v>0</v>
      </c>
      <c r="L9" s="24">
        <f>IFERROR((VLOOKUP($D9,'0. Control Panel'!$C$7:$F$16,4,FALSE)*('3. Product Benefit Input'!$F9+'3. Product Benefit Input'!I9)*'3. Product Benefit Input'!$L9)-(VLOOKUP($D9,'0. Control Panel'!$C$7:$F$16,4,FALSE)*('3. Product Benefit Input'!$F9+'3. Product Benefit Input'!I9)*'3. Product Benefit Input'!O9),0)</f>
        <v>0</v>
      </c>
      <c r="M9" s="24">
        <f>IFERROR((VLOOKUP($D9,'0. Control Panel'!$C$7:$F$16,4,FALSE)*('3. Product Benefit Input'!$F9+'3. Product Benefit Input'!J9)*'3. Product Benefit Input'!$L9)-(VLOOKUP($D9,'0. Control Panel'!$C$7:$F$16,4,FALSE)*('3. Product Benefit Input'!$F9+'3. Product Benefit Input'!J9)*'3. Product Benefit Input'!P9),0)</f>
        <v>0</v>
      </c>
      <c r="O9" s="24">
        <f>'3. Product Benefit Input'!T9</f>
        <v>0</v>
      </c>
      <c r="P9" s="24">
        <f>'3. Product Benefit Input'!U9</f>
        <v>0</v>
      </c>
      <c r="Q9" s="24">
        <f>'3. Product Benefit Input'!V9</f>
        <v>0</v>
      </c>
      <c r="S9" s="24">
        <f t="shared" si="7"/>
        <v>0</v>
      </c>
      <c r="T9" s="24">
        <f t="shared" si="8"/>
        <v>0</v>
      </c>
      <c r="U9" s="24">
        <f t="shared" si="9"/>
        <v>0</v>
      </c>
      <c r="Y9" s="11"/>
      <c r="Z9" s="11"/>
      <c r="AA9" s="11"/>
    </row>
    <row r="10" spans="1:27" x14ac:dyDescent="0.25">
      <c r="A10" t="str">
        <f t="shared" si="4"/>
        <v>Product BP1</v>
      </c>
      <c r="C10" s="6">
        <f>IF(C9="-","-",IF(C9+1&gt;COUNTA('0. Control Panel'!$C$7:$C$16),"-",C9+1))</f>
        <v>4</v>
      </c>
      <c r="D10" s="16" t="str">
        <f>IF(C10="-","-",INDEX('0. Control Panel'!$B$6:$K$16,MATCH('3.1 Product Benefit Output'!$C10,'0. Control Panel'!$B$6:$B$16,0),MATCH(D$6,'0. Control Panel'!$B$6:$K$6,0)))</f>
        <v>Product B</v>
      </c>
      <c r="E10" s="6"/>
      <c r="F10" s="2"/>
      <c r="G10" s="24">
        <f>IFERROR(-VLOOKUP($D10,'0. Control Panel'!$C$7:$F$16,4,FALSE)*(('3. Product Benefit Input'!$F10+'3. Product Benefit Input'!H10)*'3. Product Benefit Input'!$L10)+(VLOOKUP($D10,'0. Control Panel'!$C$7:$F$16,4,FALSE)*('3. Product Benefit Input'!$F10*'3. Product Benefit Input'!$L10)),0)</f>
        <v>0</v>
      </c>
      <c r="H10" s="24">
        <f>IFERROR(-VLOOKUP($D10,'0. Control Panel'!$C$7:$F$16,4,FALSE)*(('3. Product Benefit Input'!$F10+'3. Product Benefit Input'!I10)*'3. Product Benefit Input'!$L10)+(VLOOKUP($D10,'0. Control Panel'!$C$7:$F$16,4,FALSE)*('3. Product Benefit Input'!$F10*'3. Product Benefit Input'!$L10)),0)</f>
        <v>0</v>
      </c>
      <c r="I10" s="24">
        <f>IFERROR(-VLOOKUP($D10,'0. Control Panel'!$C$7:$F$16,4,FALSE)*(('3. Product Benefit Input'!$F10+'3. Product Benefit Input'!J10)*'3. Product Benefit Input'!$L10)+(VLOOKUP($D10,'0. Control Panel'!$C$7:$F$16,4,FALSE)*('3. Product Benefit Input'!$F10*'3. Product Benefit Input'!$L10)),0)</f>
        <v>0</v>
      </c>
      <c r="K10" s="24">
        <f>IFERROR((VLOOKUP($D10,'0. Control Panel'!$C$7:$F$16,4,FALSE)*('3. Product Benefit Input'!$F10+'3. Product Benefit Input'!H10)*'3. Product Benefit Input'!$L10)-(VLOOKUP($D10,'0. Control Panel'!$C$7:$F$16,4,FALSE)*('3. Product Benefit Input'!$F10+'3. Product Benefit Input'!H10)*'3. Product Benefit Input'!N10),0)</f>
        <v>0</v>
      </c>
      <c r="L10" s="24">
        <f>IFERROR((VLOOKUP($D10,'0. Control Panel'!$C$7:$F$16,4,FALSE)*('3. Product Benefit Input'!$F10+'3. Product Benefit Input'!I10)*'3. Product Benefit Input'!$L10)-(VLOOKUP($D10,'0. Control Panel'!$C$7:$F$16,4,FALSE)*('3. Product Benefit Input'!$F10+'3. Product Benefit Input'!I10)*'3. Product Benefit Input'!O10),0)</f>
        <v>0</v>
      </c>
      <c r="M10" s="24">
        <f>IFERROR((VLOOKUP($D10,'0. Control Panel'!$C$7:$F$16,4,FALSE)*('3. Product Benefit Input'!$F10+'3. Product Benefit Input'!J10)*'3. Product Benefit Input'!$L10)-(VLOOKUP($D10,'0. Control Panel'!$C$7:$F$16,4,FALSE)*('3. Product Benefit Input'!$F10+'3. Product Benefit Input'!J10)*'3. Product Benefit Input'!P10),0)</f>
        <v>0</v>
      </c>
      <c r="O10" s="24">
        <f>'3. Product Benefit Input'!T10</f>
        <v>0</v>
      </c>
      <c r="P10" s="24">
        <f>'3. Product Benefit Input'!U10</f>
        <v>0</v>
      </c>
      <c r="Q10" s="24">
        <f>'3. Product Benefit Input'!V10</f>
        <v>0</v>
      </c>
      <c r="S10" s="24">
        <f t="shared" si="7"/>
        <v>0</v>
      </c>
      <c r="T10" s="24">
        <f t="shared" si="8"/>
        <v>0</v>
      </c>
      <c r="U10" s="24">
        <f t="shared" si="9"/>
        <v>0</v>
      </c>
      <c r="Y10" s="11"/>
      <c r="Z10" s="11"/>
      <c r="AA10" s="11"/>
    </row>
    <row r="11" spans="1:27" x14ac:dyDescent="0.25">
      <c r="A11" t="str">
        <f t="shared" si="4"/>
        <v>R&amp;DP1</v>
      </c>
      <c r="C11" s="6">
        <f>IF(C10="-","-",IF(C10+1&gt;COUNTA('0. Control Panel'!$C$7:$C$16),"-",C10+1))</f>
        <v>5</v>
      </c>
      <c r="D11" s="16" t="str">
        <f>IF(C11="-","-",INDEX('0. Control Panel'!$B$6:$K$16,MATCH('3.1 Product Benefit Output'!$C11,'0. Control Panel'!$B$6:$B$16,0),MATCH(D$6,'0. Control Panel'!$B$6:$K$6,0)))</f>
        <v>R&amp;D</v>
      </c>
      <c r="E11" s="6"/>
      <c r="F11" s="2"/>
      <c r="G11" s="24">
        <f>IFERROR(-VLOOKUP($D11,'0. Control Panel'!$C$7:$F$16,4,FALSE)*(('3. Product Benefit Input'!$F11+'3. Product Benefit Input'!H11)*'3. Product Benefit Input'!$L11)+(VLOOKUP($D11,'0. Control Panel'!$C$7:$F$16,4,FALSE)*('3. Product Benefit Input'!$F11*'3. Product Benefit Input'!$L11)),0)</f>
        <v>0</v>
      </c>
      <c r="H11" s="24">
        <f>IFERROR(-VLOOKUP($D11,'0. Control Panel'!$C$7:$F$16,4,FALSE)*(('3. Product Benefit Input'!$F11+'3. Product Benefit Input'!I11)*'3. Product Benefit Input'!$L11)+(VLOOKUP($D11,'0. Control Panel'!$C$7:$F$16,4,FALSE)*('3. Product Benefit Input'!$F11*'3. Product Benefit Input'!$L11)),0)</f>
        <v>0</v>
      </c>
      <c r="I11" s="24">
        <f>IFERROR(-VLOOKUP($D11,'0. Control Panel'!$C$7:$F$16,4,FALSE)*(('3. Product Benefit Input'!$F11+'3. Product Benefit Input'!J11)*'3. Product Benefit Input'!$L11)+(VLOOKUP($D11,'0. Control Panel'!$C$7:$F$16,4,FALSE)*('3. Product Benefit Input'!$F11*'3. Product Benefit Input'!$L11)),0)</f>
        <v>0</v>
      </c>
      <c r="K11" s="24">
        <f>IFERROR((VLOOKUP($D11,'0. Control Panel'!$C$7:$F$16,4,FALSE)*('3. Product Benefit Input'!$F11+'3. Product Benefit Input'!H11)*'3. Product Benefit Input'!$L11)-(VLOOKUP($D11,'0. Control Panel'!$C$7:$F$16,4,FALSE)*('3. Product Benefit Input'!$F11+'3. Product Benefit Input'!H11)*'3. Product Benefit Input'!N11),0)</f>
        <v>0</v>
      </c>
      <c r="L11" s="24">
        <f>IFERROR((VLOOKUP($D11,'0. Control Panel'!$C$7:$F$16,4,FALSE)*('3. Product Benefit Input'!$F11+'3. Product Benefit Input'!I11)*'3. Product Benefit Input'!$L11)-(VLOOKUP($D11,'0. Control Panel'!$C$7:$F$16,4,FALSE)*('3. Product Benefit Input'!$F11+'3. Product Benefit Input'!I11)*'3. Product Benefit Input'!O11),0)</f>
        <v>0</v>
      </c>
      <c r="M11" s="24">
        <f>IFERROR((VLOOKUP($D11,'0. Control Panel'!$C$7:$F$16,4,FALSE)*('3. Product Benefit Input'!$F11+'3. Product Benefit Input'!J11)*'3. Product Benefit Input'!$L11)-(VLOOKUP($D11,'0. Control Panel'!$C$7:$F$16,4,FALSE)*('3. Product Benefit Input'!$F11+'3. Product Benefit Input'!J11)*'3. Product Benefit Input'!P11),0)</f>
        <v>0</v>
      </c>
      <c r="O11" s="24">
        <f>'3. Product Benefit Input'!T11</f>
        <v>0</v>
      </c>
      <c r="P11" s="24">
        <f>'3. Product Benefit Input'!U11</f>
        <v>0</v>
      </c>
      <c r="Q11" s="24">
        <f>'3. Product Benefit Input'!V11</f>
        <v>0</v>
      </c>
      <c r="S11" s="24">
        <f t="shared" si="7"/>
        <v>0</v>
      </c>
      <c r="T11" s="24">
        <f t="shared" si="8"/>
        <v>0</v>
      </c>
      <c r="U11" s="24">
        <f t="shared" si="9"/>
        <v>0</v>
      </c>
      <c r="Y11" s="11"/>
      <c r="Z11" s="11"/>
      <c r="AA11" s="11"/>
    </row>
    <row r="12" spans="1:27" x14ac:dyDescent="0.25">
      <c r="A12" t="str">
        <f t="shared" si="4"/>
        <v>HRP1</v>
      </c>
      <c r="C12" s="6">
        <f>IF(C11="-","-",IF(C11+1&gt;COUNTA('0. Control Panel'!$C$7:$C$16),"-",C11+1))</f>
        <v>6</v>
      </c>
      <c r="D12" s="16" t="str">
        <f>IF(C12="-","-",INDEX('0. Control Panel'!$B$6:$K$16,MATCH('3.1 Product Benefit Output'!$C12,'0. Control Panel'!$B$6:$B$16,0),MATCH(D$6,'0. Control Panel'!$B$6:$K$6,0)))</f>
        <v>HR</v>
      </c>
      <c r="E12" s="6"/>
      <c r="F12" s="2"/>
      <c r="G12" s="24">
        <f>IFERROR(-VLOOKUP($D12,'0. Control Panel'!$C$7:$F$16,4,FALSE)*(('3. Product Benefit Input'!$F12+'3. Product Benefit Input'!H12)*'3. Product Benefit Input'!$L12)+(VLOOKUP($D12,'0. Control Panel'!$C$7:$F$16,4,FALSE)*('3. Product Benefit Input'!$F12*'3. Product Benefit Input'!$L12)),0)</f>
        <v>98000</v>
      </c>
      <c r="H12" s="24">
        <f>IFERROR(-VLOOKUP($D12,'0. Control Panel'!$C$7:$F$16,4,FALSE)*(('3. Product Benefit Input'!$F12+'3. Product Benefit Input'!I12)*'3. Product Benefit Input'!$L12)+(VLOOKUP($D12,'0. Control Panel'!$C$7:$F$16,4,FALSE)*('3. Product Benefit Input'!$F12*'3. Product Benefit Input'!$L12)),0)</f>
        <v>245000</v>
      </c>
      <c r="I12" s="24">
        <f>IFERROR(-VLOOKUP($D12,'0. Control Panel'!$C$7:$F$16,4,FALSE)*(('3. Product Benefit Input'!$F12+'3. Product Benefit Input'!J12)*'3. Product Benefit Input'!$L12)+(VLOOKUP($D12,'0. Control Panel'!$C$7:$F$16,4,FALSE)*('3. Product Benefit Input'!$F12*'3. Product Benefit Input'!$L12)),0)</f>
        <v>441000</v>
      </c>
      <c r="K12" s="24">
        <f>IFERROR((VLOOKUP($D12,'0. Control Panel'!$C$7:$F$16,4,FALSE)*('3. Product Benefit Input'!$F12+'3. Product Benefit Input'!H12)*'3. Product Benefit Input'!$L12)-(VLOOKUP($D12,'0. Control Panel'!$C$7:$F$16,4,FALSE)*('3. Product Benefit Input'!$F12+'3. Product Benefit Input'!H12)*'3. Product Benefit Input'!N12),0)</f>
        <v>0</v>
      </c>
      <c r="L12" s="24">
        <f>IFERROR((VLOOKUP($D12,'0. Control Panel'!$C$7:$F$16,4,FALSE)*('3. Product Benefit Input'!$F12+'3. Product Benefit Input'!I12)*'3. Product Benefit Input'!$L12)-(VLOOKUP($D12,'0. Control Panel'!$C$7:$F$16,4,FALSE)*('3. Product Benefit Input'!$F12+'3. Product Benefit Input'!I12)*'3. Product Benefit Input'!O12),0)</f>
        <v>0</v>
      </c>
      <c r="M12" s="24">
        <f>IFERROR((VLOOKUP($D12,'0. Control Panel'!$C$7:$F$16,4,FALSE)*('3. Product Benefit Input'!$F12+'3. Product Benefit Input'!J12)*'3. Product Benefit Input'!$L12)-(VLOOKUP($D12,'0. Control Panel'!$C$7:$F$16,4,FALSE)*('3. Product Benefit Input'!$F12+'3. Product Benefit Input'!J12)*'3. Product Benefit Input'!P12),0)</f>
        <v>0</v>
      </c>
      <c r="O12" s="24">
        <f>'3. Product Benefit Input'!T12</f>
        <v>0</v>
      </c>
      <c r="P12" s="24">
        <f>'3. Product Benefit Input'!U12</f>
        <v>0</v>
      </c>
      <c r="Q12" s="24">
        <f>'3. Product Benefit Input'!V12</f>
        <v>0</v>
      </c>
      <c r="S12" s="24">
        <f t="shared" si="7"/>
        <v>98000</v>
      </c>
      <c r="T12" s="24">
        <f t="shared" si="8"/>
        <v>245000</v>
      </c>
      <c r="U12" s="24">
        <f t="shared" si="9"/>
        <v>441000</v>
      </c>
      <c r="Y12" s="11"/>
      <c r="Z12" s="11"/>
      <c r="AA12" s="11"/>
    </row>
    <row r="13" spans="1:27" x14ac:dyDescent="0.25">
      <c r="A13" t="str">
        <f t="shared" si="4"/>
        <v>FinanceP1</v>
      </c>
      <c r="C13" s="6">
        <f>IF(C12="-","-",IF(C12+1&gt;COUNTA('0. Control Panel'!$C$7:$C$16),"-",C12+1))</f>
        <v>7</v>
      </c>
      <c r="D13" s="16" t="str">
        <f>IF(C13="-","-",INDEX('0. Control Panel'!$B$6:$K$16,MATCH('3.1 Product Benefit Output'!$C13,'0. Control Panel'!$B$6:$B$16,0),MATCH(D$6,'0. Control Panel'!$B$6:$K$6,0)))</f>
        <v>Finance</v>
      </c>
      <c r="E13" s="6"/>
      <c r="F13" s="2"/>
      <c r="G13" s="24">
        <f>IFERROR(-VLOOKUP($D13,'0. Control Panel'!$C$7:$F$16,4,FALSE)*(('3. Product Benefit Input'!$F13+'3. Product Benefit Input'!H13)*'3. Product Benefit Input'!$L13)+(VLOOKUP($D13,'0. Control Panel'!$C$7:$F$16,4,FALSE)*('3. Product Benefit Input'!$F13*'3. Product Benefit Input'!$L13)),0)</f>
        <v>0</v>
      </c>
      <c r="H13" s="24">
        <f>IFERROR(-VLOOKUP($D13,'0. Control Panel'!$C$7:$F$16,4,FALSE)*(('3. Product Benefit Input'!$F13+'3. Product Benefit Input'!I13)*'3. Product Benefit Input'!$L13)+(VLOOKUP($D13,'0. Control Panel'!$C$7:$F$16,4,FALSE)*('3. Product Benefit Input'!$F13*'3. Product Benefit Input'!$L13)),0)</f>
        <v>0</v>
      </c>
      <c r="I13" s="24">
        <f>IFERROR(-VLOOKUP($D13,'0. Control Panel'!$C$7:$F$16,4,FALSE)*(('3. Product Benefit Input'!$F13+'3. Product Benefit Input'!J13)*'3. Product Benefit Input'!$L13)+(VLOOKUP($D13,'0. Control Panel'!$C$7:$F$16,4,FALSE)*('3. Product Benefit Input'!$F13*'3. Product Benefit Input'!$L13)),0)</f>
        <v>0</v>
      </c>
      <c r="K13" s="24">
        <f>IFERROR((VLOOKUP($D13,'0. Control Panel'!$C$7:$F$16,4,FALSE)*('3. Product Benefit Input'!$F13+'3. Product Benefit Input'!H13)*'3. Product Benefit Input'!$L13)-(VLOOKUP($D13,'0. Control Panel'!$C$7:$F$16,4,FALSE)*('3. Product Benefit Input'!$F13+'3. Product Benefit Input'!H13)*'3. Product Benefit Input'!N13),0)</f>
        <v>0</v>
      </c>
      <c r="L13" s="24">
        <f>IFERROR((VLOOKUP($D13,'0. Control Panel'!$C$7:$F$16,4,FALSE)*('3. Product Benefit Input'!$F13+'3. Product Benefit Input'!I13)*'3. Product Benefit Input'!$L13)-(VLOOKUP($D13,'0. Control Panel'!$C$7:$F$16,4,FALSE)*('3. Product Benefit Input'!$F13+'3. Product Benefit Input'!I13)*'3. Product Benefit Input'!O13),0)</f>
        <v>0</v>
      </c>
      <c r="M13" s="24">
        <f>IFERROR((VLOOKUP($D13,'0. Control Panel'!$C$7:$F$16,4,FALSE)*('3. Product Benefit Input'!$F13+'3. Product Benefit Input'!J13)*'3. Product Benefit Input'!$L13)-(VLOOKUP($D13,'0. Control Panel'!$C$7:$F$16,4,FALSE)*('3. Product Benefit Input'!$F13+'3. Product Benefit Input'!J13)*'3. Product Benefit Input'!P13),0)</f>
        <v>0</v>
      </c>
      <c r="O13" s="24">
        <f>'3. Product Benefit Input'!T13</f>
        <v>0</v>
      </c>
      <c r="P13" s="24">
        <f>'3. Product Benefit Input'!U13</f>
        <v>0</v>
      </c>
      <c r="Q13" s="24">
        <f>'3. Product Benefit Input'!V13</f>
        <v>0</v>
      </c>
      <c r="S13" s="24">
        <f t="shared" si="7"/>
        <v>0</v>
      </c>
      <c r="T13" s="24">
        <f t="shared" si="8"/>
        <v>0</v>
      </c>
      <c r="U13" s="24">
        <f t="shared" si="9"/>
        <v>0</v>
      </c>
      <c r="Y13" s="11"/>
      <c r="Z13" s="11"/>
      <c r="AA13" s="11"/>
    </row>
    <row r="14" spans="1:27" x14ac:dyDescent="0.25">
      <c r="A14" t="str">
        <f t="shared" si="4"/>
        <v>Head OfficeP1</v>
      </c>
      <c r="C14" s="6">
        <f>IF(C13="-","-",IF(C13+1&gt;COUNTA('0. Control Panel'!$C$7:$C$16),"-",C13+1))</f>
        <v>8</v>
      </c>
      <c r="D14" s="16" t="str">
        <f>IF(C14="-","-",INDEX('0. Control Panel'!$B$6:$K$16,MATCH('3.1 Product Benefit Output'!$C14,'0. Control Panel'!$B$6:$B$16,0),MATCH(D$6,'0. Control Panel'!$B$6:$K$6,0)))</f>
        <v>Head Office</v>
      </c>
      <c r="E14" s="6"/>
      <c r="F14" s="2"/>
      <c r="G14" s="24">
        <f>IFERROR(-VLOOKUP($D14,'0. Control Panel'!$C$7:$F$16,4,FALSE)*(('3. Product Benefit Input'!$F14+'3. Product Benefit Input'!H14)*'3. Product Benefit Input'!$L14)+(VLOOKUP($D14,'0. Control Panel'!$C$7:$F$16,4,FALSE)*('3. Product Benefit Input'!$F14*'3. Product Benefit Input'!$L14)),0)</f>
        <v>0</v>
      </c>
      <c r="H14" s="24">
        <f>IFERROR(-VLOOKUP($D14,'0. Control Panel'!$C$7:$F$16,4,FALSE)*(('3. Product Benefit Input'!$F14+'3. Product Benefit Input'!I14)*'3. Product Benefit Input'!$L14)+(VLOOKUP($D14,'0. Control Panel'!$C$7:$F$16,4,FALSE)*('3. Product Benefit Input'!$F14*'3. Product Benefit Input'!$L14)),0)</f>
        <v>19000</v>
      </c>
      <c r="I14" s="24">
        <f>IFERROR(-VLOOKUP($D14,'0. Control Panel'!$C$7:$F$16,4,FALSE)*(('3. Product Benefit Input'!$F14+'3. Product Benefit Input'!J14)*'3. Product Benefit Input'!$L14)+(VLOOKUP($D14,'0. Control Panel'!$C$7:$F$16,4,FALSE)*('3. Product Benefit Input'!$F14*'3. Product Benefit Input'!$L14)),0)</f>
        <v>38000</v>
      </c>
      <c r="K14" s="24">
        <f>IFERROR((VLOOKUP($D14,'0. Control Panel'!$C$7:$F$16,4,FALSE)*('3. Product Benefit Input'!$F14+'3. Product Benefit Input'!H14)*'3. Product Benefit Input'!$L14)-(VLOOKUP($D14,'0. Control Panel'!$C$7:$F$16,4,FALSE)*('3. Product Benefit Input'!$F14+'3. Product Benefit Input'!H14)*'3. Product Benefit Input'!N14),0)</f>
        <v>0</v>
      </c>
      <c r="L14" s="24">
        <f>IFERROR((VLOOKUP($D14,'0. Control Panel'!$C$7:$F$16,4,FALSE)*('3. Product Benefit Input'!$F14+'3. Product Benefit Input'!I14)*'3. Product Benefit Input'!$L14)-(VLOOKUP($D14,'0. Control Panel'!$C$7:$F$16,4,FALSE)*('3. Product Benefit Input'!$F14+'3. Product Benefit Input'!I14)*'3. Product Benefit Input'!O14),0)</f>
        <v>19285</v>
      </c>
      <c r="M14" s="24">
        <f>IFERROR((VLOOKUP($D14,'0. Control Panel'!$C$7:$F$16,4,FALSE)*('3. Product Benefit Input'!$F14+'3. Product Benefit Input'!J14)*'3. Product Benefit Input'!$L14)-(VLOOKUP($D14,'0. Control Panel'!$C$7:$F$16,4,FALSE)*('3. Product Benefit Input'!$F14+'3. Product Benefit Input'!J14)*'3. Product Benefit Input'!P14),0)</f>
        <v>30970</v>
      </c>
      <c r="O14" s="24">
        <f>'3. Product Benefit Input'!T14</f>
        <v>0</v>
      </c>
      <c r="P14" s="24">
        <f>'3. Product Benefit Input'!U14</f>
        <v>0</v>
      </c>
      <c r="Q14" s="24">
        <f>'3. Product Benefit Input'!V14</f>
        <v>0</v>
      </c>
      <c r="S14" s="24">
        <f t="shared" si="7"/>
        <v>0</v>
      </c>
      <c r="T14" s="24">
        <f t="shared" si="8"/>
        <v>38285</v>
      </c>
      <c r="U14" s="24">
        <f t="shared" si="9"/>
        <v>68970</v>
      </c>
      <c r="Y14" s="11"/>
      <c r="Z14" s="11"/>
      <c r="AA14" s="11"/>
    </row>
    <row r="15" spans="1:27" x14ac:dyDescent="0.25">
      <c r="A15" t="str">
        <f t="shared" si="4"/>
        <v>-P1</v>
      </c>
      <c r="C15" s="6" t="str">
        <f>IF(C14="-","-",IF(C14+1&gt;COUNTA('0. Control Panel'!$C$7:$C$16),"-",C14+1))</f>
        <v>-</v>
      </c>
      <c r="D15" s="16" t="str">
        <f>IF(C15="-","-",INDEX('0. Control Panel'!$B$6:$K$16,MATCH('3.1 Product Benefit Output'!$C15,'0. Control Panel'!$B$6:$B$16,0),MATCH(D$6,'0. Control Panel'!$B$6:$K$6,0)))</f>
        <v>-</v>
      </c>
      <c r="E15" s="6"/>
      <c r="F15" s="2"/>
      <c r="G15" s="24">
        <f>IFERROR(-VLOOKUP($D15,'0. Control Panel'!$C$7:$F$16,4,FALSE)*(('3. Product Benefit Input'!$F15+'3. Product Benefit Input'!H15)*'3. Product Benefit Input'!$L15)+(VLOOKUP($D15,'0. Control Panel'!$C$7:$F$16,4,FALSE)*('3. Product Benefit Input'!$F15*'3. Product Benefit Input'!$L15)),0)</f>
        <v>0</v>
      </c>
      <c r="H15" s="24">
        <f>IFERROR(-VLOOKUP($D15,'0. Control Panel'!$C$7:$F$16,4,FALSE)*(('3. Product Benefit Input'!$F15+'3. Product Benefit Input'!I15)*'3. Product Benefit Input'!$L15)+(VLOOKUP($D15,'0. Control Panel'!$C$7:$F$16,4,FALSE)*('3. Product Benefit Input'!$F15*'3. Product Benefit Input'!$L15)),0)</f>
        <v>0</v>
      </c>
      <c r="I15" s="24">
        <f>IFERROR(-VLOOKUP($D15,'0. Control Panel'!$C$7:$F$16,4,FALSE)*(('3. Product Benefit Input'!$F15+'3. Product Benefit Input'!J15)*'3. Product Benefit Input'!$L15)+(VLOOKUP($D15,'0. Control Panel'!$C$7:$F$16,4,FALSE)*('3. Product Benefit Input'!$F15*'3. Product Benefit Input'!$L15)),0)</f>
        <v>0</v>
      </c>
      <c r="K15" s="24">
        <f>IFERROR((VLOOKUP($D15,'0. Control Panel'!$C$7:$F$16,4,FALSE)*('3. Product Benefit Input'!$F15+'3. Product Benefit Input'!H15)*'3. Product Benefit Input'!$L15)-(VLOOKUP($D15,'0. Control Panel'!$C$7:$F$16,4,FALSE)*('3. Product Benefit Input'!$F15+'3. Product Benefit Input'!H15)*'3. Product Benefit Input'!N15),0)</f>
        <v>0</v>
      </c>
      <c r="L15" s="24">
        <f>IFERROR((VLOOKUP($D15,'0. Control Panel'!$C$7:$F$16,4,FALSE)*('3. Product Benefit Input'!$F15+'3. Product Benefit Input'!I15)*'3. Product Benefit Input'!$L15)-(VLOOKUP($D15,'0. Control Panel'!$C$7:$F$16,4,FALSE)*('3. Product Benefit Input'!$F15+'3. Product Benefit Input'!I15)*'3. Product Benefit Input'!O15),0)</f>
        <v>0</v>
      </c>
      <c r="M15" s="24">
        <f>IFERROR((VLOOKUP($D15,'0. Control Panel'!$C$7:$F$16,4,FALSE)*('3. Product Benefit Input'!$F15+'3. Product Benefit Input'!J15)*'3. Product Benefit Input'!$L15)-(VLOOKUP($D15,'0. Control Panel'!$C$7:$F$16,4,FALSE)*('3. Product Benefit Input'!$F15+'3. Product Benefit Input'!J15)*'3. Product Benefit Input'!P15),0)</f>
        <v>0</v>
      </c>
      <c r="O15" s="24">
        <f>'3. Product Benefit Input'!T15</f>
        <v>0</v>
      </c>
      <c r="P15" s="24">
        <f>'3. Product Benefit Input'!U15</f>
        <v>0</v>
      </c>
      <c r="Q15" s="24">
        <f>'3. Product Benefit Input'!V15</f>
        <v>0</v>
      </c>
      <c r="S15" s="24">
        <f t="shared" si="7"/>
        <v>0</v>
      </c>
      <c r="T15" s="24">
        <f t="shared" si="8"/>
        <v>0</v>
      </c>
      <c r="U15" s="24">
        <f t="shared" si="9"/>
        <v>0</v>
      </c>
      <c r="Y15" s="11"/>
      <c r="Z15" s="11"/>
      <c r="AA15" s="11"/>
    </row>
    <row r="16" spans="1:27" x14ac:dyDescent="0.25">
      <c r="A16" t="str">
        <f t="shared" si="4"/>
        <v>-P1</v>
      </c>
      <c r="C16" s="7" t="str">
        <f>IF(C15="-","-",IF(C15+1&gt;COUNTA('0. Control Panel'!$C$7:$C$16),"-",C15+1))</f>
        <v>-</v>
      </c>
      <c r="D16" s="17" t="str">
        <f>IF(C16="-","-",INDEX('0. Control Panel'!$B$6:$K$16,MATCH('3.1 Product Benefit Output'!$C16,'0. Control Panel'!$B$6:$B$16,0),MATCH(D$6,'0. Control Panel'!$B$6:$K$6,0)))</f>
        <v>-</v>
      </c>
      <c r="E16" s="7"/>
      <c r="F16" s="2"/>
      <c r="G16" s="24">
        <f>IFERROR(-VLOOKUP($D16,'0. Control Panel'!$C$7:$F$16,4,FALSE)*(('3. Product Benefit Input'!$F16+'3. Product Benefit Input'!H16)*'3. Product Benefit Input'!$L16)+(VLOOKUP($D16,'0. Control Panel'!$C$7:$F$16,4,FALSE)*('3. Product Benefit Input'!$F16*'3. Product Benefit Input'!$L16)),0)</f>
        <v>0</v>
      </c>
      <c r="H16" s="24">
        <f>IFERROR(-VLOOKUP($D16,'0. Control Panel'!$C$7:$F$16,4,FALSE)*(('3. Product Benefit Input'!$F16+'3. Product Benefit Input'!I16)*'3. Product Benefit Input'!$L16)+(VLOOKUP($D16,'0. Control Panel'!$C$7:$F$16,4,FALSE)*('3. Product Benefit Input'!$F16*'3. Product Benefit Input'!$L16)),0)</f>
        <v>0</v>
      </c>
      <c r="I16" s="24">
        <f>IFERROR(-VLOOKUP($D16,'0. Control Panel'!$C$7:$F$16,4,FALSE)*(('3. Product Benefit Input'!$F16+'3. Product Benefit Input'!J16)*'3. Product Benefit Input'!$L16)+(VLOOKUP($D16,'0. Control Panel'!$C$7:$F$16,4,FALSE)*('3. Product Benefit Input'!$F16*'3. Product Benefit Input'!$L16)),0)</f>
        <v>0</v>
      </c>
      <c r="K16" s="24">
        <f>IFERROR((VLOOKUP($D16,'0. Control Panel'!$C$7:$F$16,4,FALSE)*('3. Product Benefit Input'!$F16+'3. Product Benefit Input'!H16)*'3. Product Benefit Input'!$L16)-(VLOOKUP($D16,'0. Control Panel'!$C$7:$F$16,4,FALSE)*('3. Product Benefit Input'!$F16+'3. Product Benefit Input'!H16)*'3. Product Benefit Input'!N16),0)</f>
        <v>0</v>
      </c>
      <c r="L16" s="24">
        <f>IFERROR((VLOOKUP($D16,'0. Control Panel'!$C$7:$F$16,4,FALSE)*('3. Product Benefit Input'!$F16+'3. Product Benefit Input'!I16)*'3. Product Benefit Input'!$L16)-(VLOOKUP($D16,'0. Control Panel'!$C$7:$F$16,4,FALSE)*('3. Product Benefit Input'!$F16+'3. Product Benefit Input'!I16)*'3. Product Benefit Input'!O16),0)</f>
        <v>0</v>
      </c>
      <c r="M16" s="24">
        <f>IFERROR((VLOOKUP($D16,'0. Control Panel'!$C$7:$F$16,4,FALSE)*('3. Product Benefit Input'!$F16+'3. Product Benefit Input'!J16)*'3. Product Benefit Input'!$L16)-(VLOOKUP($D16,'0. Control Panel'!$C$7:$F$16,4,FALSE)*('3. Product Benefit Input'!$F16+'3. Product Benefit Input'!J16)*'3. Product Benefit Input'!P16),0)</f>
        <v>0</v>
      </c>
      <c r="O16" s="24">
        <f>'3. Product Benefit Input'!T16</f>
        <v>0</v>
      </c>
      <c r="P16" s="24">
        <f>'3. Product Benefit Input'!U16</f>
        <v>0</v>
      </c>
      <c r="Q16" s="24">
        <f>'3. Product Benefit Input'!V16</f>
        <v>0</v>
      </c>
      <c r="S16" s="24">
        <f t="shared" si="7"/>
        <v>0</v>
      </c>
      <c r="T16" s="24">
        <f t="shared" si="8"/>
        <v>0</v>
      </c>
      <c r="U16" s="24">
        <f t="shared" si="9"/>
        <v>0</v>
      </c>
      <c r="Y16" s="11"/>
      <c r="Z16" s="11"/>
      <c r="AA16" s="11"/>
    </row>
    <row r="17" spans="1:21" ht="16.5" thickBot="1" x14ac:dyDescent="0.3">
      <c r="A17" s="22" t="str">
        <f t="shared" si="4"/>
        <v>All Departments/FunctionsP1</v>
      </c>
      <c r="B17" s="22"/>
      <c r="C17" s="23"/>
      <c r="D17" s="27" t="str">
        <f>"All "&amp;D6</f>
        <v>All Departments/Functions</v>
      </c>
      <c r="E17" s="23"/>
      <c r="F17" s="23"/>
      <c r="G17" s="28">
        <f>SUM(G7:G16)</f>
        <v>98000</v>
      </c>
      <c r="H17" s="28">
        <f t="shared" ref="H17:I17" si="10">SUM(H7:H16)</f>
        <v>924000.00000000023</v>
      </c>
      <c r="I17" s="28">
        <f t="shared" si="10"/>
        <v>1755000</v>
      </c>
      <c r="J17" s="23"/>
      <c r="K17" s="28">
        <f>SUM(K7:K16)</f>
        <v>0</v>
      </c>
      <c r="L17" s="28">
        <f t="shared" ref="L17:M17" si="11">SUM(L7:L16)</f>
        <v>263485.00000000023</v>
      </c>
      <c r="M17" s="28">
        <f t="shared" si="11"/>
        <v>198170.00000000023</v>
      </c>
      <c r="N17" s="29"/>
      <c r="O17" s="28">
        <f t="shared" ref="O17:Q17" si="12">SUM(O7:O16)</f>
        <v>250000</v>
      </c>
      <c r="P17" s="28">
        <f t="shared" si="12"/>
        <v>350000</v>
      </c>
      <c r="Q17" s="28">
        <f t="shared" si="12"/>
        <v>550000</v>
      </c>
      <c r="R17" s="29"/>
      <c r="S17" s="28">
        <f t="shared" ref="S17:U17" si="13">SUM(S7:S16)</f>
        <v>348000</v>
      </c>
      <c r="T17" s="28">
        <f t="shared" si="13"/>
        <v>1537485.0000000005</v>
      </c>
      <c r="U17" s="28">
        <f t="shared" si="13"/>
        <v>2503170</v>
      </c>
    </row>
    <row r="18" spans="1:21" ht="16.5" thickTop="1" x14ac:dyDescent="0.25"/>
    <row r="19" spans="1:21" ht="15.95" customHeight="1" x14ac:dyDescent="0.25">
      <c r="C19" s="12" t="s">
        <v>23</v>
      </c>
      <c r="D19" s="30" t="str">
        <f>IF(INDEX('0. Control Panel'!$B$31:$C$41,MATCH('3.1 Product Benefit Output'!$C19,'0. Control Panel'!$B$31:$B$41,0),2)="","n/a",INDEX('0. Control Panel'!$B$31:$C$41,MATCH('3.1 Product Benefit Output'!$C19,'0. Control Panel'!$B$31:$B$41,0),2))</f>
        <v>Reduced Report Generation Cost</v>
      </c>
      <c r="G19"/>
      <c r="H19"/>
      <c r="I19"/>
      <c r="J19"/>
      <c r="K19"/>
      <c r="L19"/>
      <c r="M19"/>
      <c r="N19"/>
      <c r="O19"/>
      <c r="P19"/>
      <c r="Q19"/>
      <c r="R19"/>
      <c r="S19"/>
      <c r="T19"/>
      <c r="U19"/>
    </row>
    <row r="20" spans="1:21" x14ac:dyDescent="0.25">
      <c r="A20" t="str">
        <f>D20&amp;$C$19</f>
        <v>ITP2</v>
      </c>
      <c r="C20" s="5">
        <v>1</v>
      </c>
      <c r="D20" s="15" t="str">
        <f>IF(C20="-","-",INDEX('0. Control Panel'!$B$6:$K$16,MATCH('3.1 Product Benefit Output'!$C20,'0. Control Panel'!$B$6:$B$16,0),MATCH(D$6,'0. Control Panel'!$B$6:$K$6,0)))</f>
        <v>IT</v>
      </c>
      <c r="E20" s="5"/>
      <c r="F20" s="2"/>
      <c r="G20" s="24">
        <f>IFERROR(-VLOOKUP($D20,'0. Control Panel'!$C$7:$F$16,4,FALSE)*(('3. Product Benefit Input'!$F20+'3. Product Benefit Input'!H20)*'3. Product Benefit Input'!$L20)+(VLOOKUP($D20,'0. Control Panel'!$C$7:$F$16,4,FALSE)*('3. Product Benefit Input'!$F20*'3. Product Benefit Input'!$L20)),0)</f>
        <v>0</v>
      </c>
      <c r="H20" s="24">
        <f>IFERROR(-VLOOKUP($D20,'0. Control Panel'!$C$7:$F$16,4,FALSE)*(('3. Product Benefit Input'!$F20+'3. Product Benefit Input'!I20)*'3. Product Benefit Input'!$L20)+(VLOOKUP($D20,'0. Control Panel'!$C$7:$F$16,4,FALSE)*('3. Product Benefit Input'!$F20*'3. Product Benefit Input'!$L20)),0)</f>
        <v>0</v>
      </c>
      <c r="I20" s="24">
        <f>IFERROR(-VLOOKUP($D20,'0. Control Panel'!$C$7:$F$16,4,FALSE)*(('3. Product Benefit Input'!$F20+'3. Product Benefit Input'!J20)*'3. Product Benefit Input'!$L20)+(VLOOKUP($D20,'0. Control Panel'!$C$7:$F$16,4,FALSE)*('3. Product Benefit Input'!$F20*'3. Product Benefit Input'!$L20)),0)</f>
        <v>0</v>
      </c>
      <c r="K20" s="24">
        <f>IFERROR((VLOOKUP($D20,'0. Control Panel'!$C$7:$F$16,4,FALSE)*('3. Product Benefit Input'!$F20+'3. Product Benefit Input'!H20)*'3. Product Benefit Input'!$L20)-(VLOOKUP($D20,'0. Control Panel'!$C$7:$F$16,4,FALSE)*('3. Product Benefit Input'!$F20+'3. Product Benefit Input'!H20)*'3. Product Benefit Input'!N20),0)</f>
        <v>0</v>
      </c>
      <c r="L20" s="24">
        <f>IFERROR((VLOOKUP($D20,'0. Control Panel'!$C$7:$F$16,4,FALSE)*('3. Product Benefit Input'!$F20+'3. Product Benefit Input'!I20)*'3. Product Benefit Input'!$L20)-(VLOOKUP($D20,'0. Control Panel'!$C$7:$F$16,4,FALSE)*('3. Product Benefit Input'!$F20+'3. Product Benefit Input'!I20)*'3. Product Benefit Input'!O20),0)</f>
        <v>0</v>
      </c>
      <c r="M20" s="24">
        <f>IFERROR((VLOOKUP($D20,'0. Control Panel'!$C$7:$F$16,4,FALSE)*('3. Product Benefit Input'!$F20+'3. Product Benefit Input'!J20)*'3. Product Benefit Input'!$L20)-(VLOOKUP($D20,'0. Control Panel'!$C$7:$F$16,4,FALSE)*('3. Product Benefit Input'!$F20+'3. Product Benefit Input'!J20)*'3. Product Benefit Input'!P20),0)</f>
        <v>0</v>
      </c>
      <c r="O20" s="24">
        <f>'3. Product Benefit Input'!T20</f>
        <v>0</v>
      </c>
      <c r="P20" s="24">
        <f>'3. Product Benefit Input'!U20</f>
        <v>0</v>
      </c>
      <c r="Q20" s="24">
        <f>'3. Product Benefit Input'!V20</f>
        <v>0</v>
      </c>
      <c r="S20" s="24">
        <f>SUM(G20,K20,O20)</f>
        <v>0</v>
      </c>
      <c r="T20" s="24">
        <f t="shared" ref="T20:T29" si="14">SUM(H20,L20,P20)</f>
        <v>0</v>
      </c>
      <c r="U20" s="24">
        <f t="shared" ref="U20:U29" si="15">SUM(I20,M20,Q20)</f>
        <v>0</v>
      </c>
    </row>
    <row r="21" spans="1:21" x14ac:dyDescent="0.25">
      <c r="A21" t="str">
        <f t="shared" ref="A21:A29" si="16">D21&amp;$C$19</f>
        <v>SalesP2</v>
      </c>
      <c r="C21" s="6">
        <f>IF(C20="-","-",IF(C20+1&gt;COUNTA('0. Control Panel'!$C$7:$C$16),"-",C20+1))</f>
        <v>2</v>
      </c>
      <c r="D21" s="16" t="str">
        <f>IF(C21="-","-",INDEX('0. Control Panel'!$B$6:$K$16,MATCH('3.1 Product Benefit Output'!$C21,'0. Control Panel'!$B$6:$B$16,0),MATCH(D$6,'0. Control Panel'!$B$6:$K$6,0)))</f>
        <v>Sales</v>
      </c>
      <c r="E21" s="6"/>
      <c r="F21" s="2"/>
      <c r="G21" s="24">
        <f>IFERROR(-VLOOKUP($D21,'0. Control Panel'!$C$7:$F$16,4,FALSE)*(('3. Product Benefit Input'!$F21+'3. Product Benefit Input'!H21)*'3. Product Benefit Input'!$L21)+(VLOOKUP($D21,'0. Control Panel'!$C$7:$F$16,4,FALSE)*('3. Product Benefit Input'!$F21*'3. Product Benefit Input'!$L21)),0)</f>
        <v>0</v>
      </c>
      <c r="H21" s="24">
        <f>IFERROR(-VLOOKUP($D21,'0. Control Panel'!$C$7:$F$16,4,FALSE)*(('3. Product Benefit Input'!$F21+'3. Product Benefit Input'!I21)*'3. Product Benefit Input'!$L21)+(VLOOKUP($D21,'0. Control Panel'!$C$7:$F$16,4,FALSE)*('3. Product Benefit Input'!$F21*'3. Product Benefit Input'!$L21)),0)</f>
        <v>0</v>
      </c>
      <c r="I21" s="24">
        <f>IFERROR(-VLOOKUP($D21,'0. Control Panel'!$C$7:$F$16,4,FALSE)*(('3. Product Benefit Input'!$F21+'3. Product Benefit Input'!J21)*'3. Product Benefit Input'!$L21)+(VLOOKUP($D21,'0. Control Panel'!$C$7:$F$16,4,FALSE)*('3. Product Benefit Input'!$F21*'3. Product Benefit Input'!$L21)),0)</f>
        <v>0</v>
      </c>
      <c r="K21" s="24">
        <f>IFERROR((VLOOKUP($D21,'0. Control Panel'!$C$7:$F$16,4,FALSE)*('3. Product Benefit Input'!$F21+'3. Product Benefit Input'!H21)*'3. Product Benefit Input'!$L21)-(VLOOKUP($D21,'0. Control Panel'!$C$7:$F$16,4,FALSE)*('3. Product Benefit Input'!$F21+'3. Product Benefit Input'!H21)*'3. Product Benefit Input'!N21),0)</f>
        <v>0</v>
      </c>
      <c r="L21" s="24">
        <f>IFERROR((VLOOKUP($D21,'0. Control Panel'!$C$7:$F$16,4,FALSE)*('3. Product Benefit Input'!$F21+'3. Product Benefit Input'!I21)*'3. Product Benefit Input'!$L21)-(VLOOKUP($D21,'0. Control Panel'!$C$7:$F$16,4,FALSE)*('3. Product Benefit Input'!$F21+'3. Product Benefit Input'!I21)*'3. Product Benefit Input'!O21),0)</f>
        <v>0</v>
      </c>
      <c r="M21" s="24">
        <f>IFERROR((VLOOKUP($D21,'0. Control Panel'!$C$7:$F$16,4,FALSE)*('3. Product Benefit Input'!$F21+'3. Product Benefit Input'!J21)*'3. Product Benefit Input'!$L21)-(VLOOKUP($D21,'0. Control Panel'!$C$7:$F$16,4,FALSE)*('3. Product Benefit Input'!$F21+'3. Product Benefit Input'!J21)*'3. Product Benefit Input'!P21),0)</f>
        <v>0</v>
      </c>
      <c r="O21" s="24">
        <f>'3. Product Benefit Input'!T21</f>
        <v>0</v>
      </c>
      <c r="P21" s="24">
        <f>'3. Product Benefit Input'!U21</f>
        <v>0</v>
      </c>
      <c r="Q21" s="24">
        <f>'3. Product Benefit Input'!V21</f>
        <v>0</v>
      </c>
      <c r="S21" s="24">
        <f t="shared" ref="S21:S29" si="17">SUM(G21,K21,O21)</f>
        <v>0</v>
      </c>
      <c r="T21" s="24">
        <f t="shared" si="14"/>
        <v>0</v>
      </c>
      <c r="U21" s="24">
        <f t="shared" si="15"/>
        <v>0</v>
      </c>
    </row>
    <row r="22" spans="1:21" x14ac:dyDescent="0.25">
      <c r="A22" t="str">
        <f t="shared" si="16"/>
        <v>Product AP2</v>
      </c>
      <c r="C22" s="6">
        <f>IF(C21="-","-",IF(C21+1&gt;COUNTA('0. Control Panel'!$C$7:$C$16),"-",C21+1))</f>
        <v>3</v>
      </c>
      <c r="D22" s="16" t="str">
        <f>IF(C22="-","-",INDEX('0. Control Panel'!$B$6:$K$16,MATCH('3.1 Product Benefit Output'!$C22,'0. Control Panel'!$B$6:$B$16,0),MATCH(D$6,'0. Control Panel'!$B$6:$K$6,0)))</f>
        <v>Product A</v>
      </c>
      <c r="E22" s="6"/>
      <c r="F22" s="2"/>
      <c r="G22" s="24">
        <f>IFERROR(-VLOOKUP($D22,'0. Control Panel'!$C$7:$F$16,4,FALSE)*(('3. Product Benefit Input'!$F22+'3. Product Benefit Input'!H22)*'3. Product Benefit Input'!$L22)+(VLOOKUP($D22,'0. Control Panel'!$C$7:$F$16,4,FALSE)*('3. Product Benefit Input'!$F22*'3. Product Benefit Input'!$L22)),0)</f>
        <v>0</v>
      </c>
      <c r="H22" s="24">
        <f>IFERROR(-VLOOKUP($D22,'0. Control Panel'!$C$7:$F$16,4,FALSE)*(('3. Product Benefit Input'!$F22+'3. Product Benefit Input'!I22)*'3. Product Benefit Input'!$L22)+(VLOOKUP($D22,'0. Control Panel'!$C$7:$F$16,4,FALSE)*('3. Product Benefit Input'!$F22*'3. Product Benefit Input'!$L22)),0)</f>
        <v>0</v>
      </c>
      <c r="I22" s="24">
        <f>IFERROR(-VLOOKUP($D22,'0. Control Panel'!$C$7:$F$16,4,FALSE)*(('3. Product Benefit Input'!$F22+'3. Product Benefit Input'!J22)*'3. Product Benefit Input'!$L22)+(VLOOKUP($D22,'0. Control Panel'!$C$7:$F$16,4,FALSE)*('3. Product Benefit Input'!$F22*'3. Product Benefit Input'!$L22)),0)</f>
        <v>0</v>
      </c>
      <c r="K22" s="24">
        <f>IFERROR((VLOOKUP($D22,'0. Control Panel'!$C$7:$F$16,4,FALSE)*('3. Product Benefit Input'!$F22+'3. Product Benefit Input'!H22)*'3. Product Benefit Input'!$L22)-(VLOOKUP($D22,'0. Control Panel'!$C$7:$F$16,4,FALSE)*('3. Product Benefit Input'!$F22+'3. Product Benefit Input'!H22)*'3. Product Benefit Input'!N22),0)</f>
        <v>0</v>
      </c>
      <c r="L22" s="24">
        <f>IFERROR((VLOOKUP($D22,'0. Control Panel'!$C$7:$F$16,4,FALSE)*('3. Product Benefit Input'!$F22+'3. Product Benefit Input'!I22)*'3. Product Benefit Input'!$L22)-(VLOOKUP($D22,'0. Control Panel'!$C$7:$F$16,4,FALSE)*('3. Product Benefit Input'!$F22+'3. Product Benefit Input'!I22)*'3. Product Benefit Input'!O22),0)</f>
        <v>0</v>
      </c>
      <c r="M22" s="24">
        <f>IFERROR((VLOOKUP($D22,'0. Control Panel'!$C$7:$F$16,4,FALSE)*('3. Product Benefit Input'!$F22+'3. Product Benefit Input'!J22)*'3. Product Benefit Input'!$L22)-(VLOOKUP($D22,'0. Control Panel'!$C$7:$F$16,4,FALSE)*('3. Product Benefit Input'!$F22+'3. Product Benefit Input'!J22)*'3. Product Benefit Input'!P22),0)</f>
        <v>0</v>
      </c>
      <c r="O22" s="24">
        <f>'3. Product Benefit Input'!T22</f>
        <v>0</v>
      </c>
      <c r="P22" s="24">
        <f>'3. Product Benefit Input'!U22</f>
        <v>0</v>
      </c>
      <c r="Q22" s="24">
        <f>'3. Product Benefit Input'!V22</f>
        <v>0</v>
      </c>
      <c r="S22" s="24">
        <f t="shared" si="17"/>
        <v>0</v>
      </c>
      <c r="T22" s="24">
        <f t="shared" si="14"/>
        <v>0</v>
      </c>
      <c r="U22" s="24">
        <f t="shared" si="15"/>
        <v>0</v>
      </c>
    </row>
    <row r="23" spans="1:21" x14ac:dyDescent="0.25">
      <c r="A23" t="str">
        <f t="shared" si="16"/>
        <v>Product BP2</v>
      </c>
      <c r="C23" s="6">
        <f>IF(C22="-","-",IF(C22+1&gt;COUNTA('0. Control Panel'!$C$7:$C$16),"-",C22+1))</f>
        <v>4</v>
      </c>
      <c r="D23" s="16" t="str">
        <f>IF(C23="-","-",INDEX('0. Control Panel'!$B$6:$K$16,MATCH('3.1 Product Benefit Output'!$C23,'0. Control Panel'!$B$6:$B$16,0),MATCH(D$6,'0. Control Panel'!$B$6:$K$6,0)))</f>
        <v>Product B</v>
      </c>
      <c r="E23" s="6"/>
      <c r="F23" s="2"/>
      <c r="G23" s="24">
        <f>IFERROR(-VLOOKUP($D23,'0. Control Panel'!$C$7:$F$16,4,FALSE)*(('3. Product Benefit Input'!$F23+'3. Product Benefit Input'!H23)*'3. Product Benefit Input'!$L23)+(VLOOKUP($D23,'0. Control Panel'!$C$7:$F$16,4,FALSE)*('3. Product Benefit Input'!$F23*'3. Product Benefit Input'!$L23)),0)</f>
        <v>0</v>
      </c>
      <c r="H23" s="24">
        <f>IFERROR(-VLOOKUP($D23,'0. Control Panel'!$C$7:$F$16,4,FALSE)*(('3. Product Benefit Input'!$F23+'3. Product Benefit Input'!I23)*'3. Product Benefit Input'!$L23)+(VLOOKUP($D23,'0. Control Panel'!$C$7:$F$16,4,FALSE)*('3. Product Benefit Input'!$F23*'3. Product Benefit Input'!$L23)),0)</f>
        <v>0</v>
      </c>
      <c r="I23" s="24">
        <f>IFERROR(-VLOOKUP($D23,'0. Control Panel'!$C$7:$F$16,4,FALSE)*(('3. Product Benefit Input'!$F23+'3. Product Benefit Input'!J23)*'3. Product Benefit Input'!$L23)+(VLOOKUP($D23,'0. Control Panel'!$C$7:$F$16,4,FALSE)*('3. Product Benefit Input'!$F23*'3. Product Benefit Input'!$L23)),0)</f>
        <v>0</v>
      </c>
      <c r="K23" s="24">
        <f>IFERROR((VLOOKUP($D23,'0. Control Panel'!$C$7:$F$16,4,FALSE)*('3. Product Benefit Input'!$F23+'3. Product Benefit Input'!H23)*'3. Product Benefit Input'!$L23)-(VLOOKUP($D23,'0. Control Panel'!$C$7:$F$16,4,FALSE)*('3. Product Benefit Input'!$F23+'3. Product Benefit Input'!H23)*'3. Product Benefit Input'!N23),0)</f>
        <v>0</v>
      </c>
      <c r="L23" s="24">
        <f>IFERROR((VLOOKUP($D23,'0. Control Panel'!$C$7:$F$16,4,FALSE)*('3. Product Benefit Input'!$F23+'3. Product Benefit Input'!I23)*'3. Product Benefit Input'!$L23)-(VLOOKUP($D23,'0. Control Panel'!$C$7:$F$16,4,FALSE)*('3. Product Benefit Input'!$F23+'3. Product Benefit Input'!I23)*'3. Product Benefit Input'!O23),0)</f>
        <v>0</v>
      </c>
      <c r="M23" s="24">
        <f>IFERROR((VLOOKUP($D23,'0. Control Panel'!$C$7:$F$16,4,FALSE)*('3. Product Benefit Input'!$F23+'3. Product Benefit Input'!J23)*'3. Product Benefit Input'!$L23)-(VLOOKUP($D23,'0. Control Panel'!$C$7:$F$16,4,FALSE)*('3. Product Benefit Input'!$F23+'3. Product Benefit Input'!J23)*'3. Product Benefit Input'!P23),0)</f>
        <v>0</v>
      </c>
      <c r="O23" s="24">
        <f>'3. Product Benefit Input'!T23</f>
        <v>0</v>
      </c>
      <c r="P23" s="24">
        <f>'3. Product Benefit Input'!U23</f>
        <v>0</v>
      </c>
      <c r="Q23" s="24">
        <f>'3. Product Benefit Input'!V23</f>
        <v>0</v>
      </c>
      <c r="S23" s="24">
        <f t="shared" si="17"/>
        <v>0</v>
      </c>
      <c r="T23" s="24">
        <f t="shared" si="14"/>
        <v>0</v>
      </c>
      <c r="U23" s="24">
        <f t="shared" si="15"/>
        <v>0</v>
      </c>
    </row>
    <row r="24" spans="1:21" x14ac:dyDescent="0.25">
      <c r="A24" t="str">
        <f t="shared" si="16"/>
        <v>R&amp;DP2</v>
      </c>
      <c r="C24" s="6">
        <f>IF(C23="-","-",IF(C23+1&gt;COUNTA('0. Control Panel'!$C$7:$C$16),"-",C23+1))</f>
        <v>5</v>
      </c>
      <c r="D24" s="16" t="str">
        <f>IF(C24="-","-",INDEX('0. Control Panel'!$B$6:$K$16,MATCH('3.1 Product Benefit Output'!$C24,'0. Control Panel'!$B$6:$B$16,0),MATCH(D$6,'0. Control Panel'!$B$6:$K$6,0)))</f>
        <v>R&amp;D</v>
      </c>
      <c r="E24" s="6"/>
      <c r="F24" s="2"/>
      <c r="G24" s="24">
        <f>IFERROR(-VLOOKUP($D24,'0. Control Panel'!$C$7:$F$16,4,FALSE)*(('3. Product Benefit Input'!$F24+'3. Product Benefit Input'!H24)*'3. Product Benefit Input'!$L24)+(VLOOKUP($D24,'0. Control Panel'!$C$7:$F$16,4,FALSE)*('3. Product Benefit Input'!$F24*'3. Product Benefit Input'!$L24)),0)</f>
        <v>0</v>
      </c>
      <c r="H24" s="24">
        <f>IFERROR(-VLOOKUP($D24,'0. Control Panel'!$C$7:$F$16,4,FALSE)*(('3. Product Benefit Input'!$F24+'3. Product Benefit Input'!I24)*'3. Product Benefit Input'!$L24)+(VLOOKUP($D24,'0. Control Panel'!$C$7:$F$16,4,FALSE)*('3. Product Benefit Input'!$F24*'3. Product Benefit Input'!$L24)),0)</f>
        <v>0</v>
      </c>
      <c r="I24" s="24">
        <f>IFERROR(-VLOOKUP($D24,'0. Control Panel'!$C$7:$F$16,4,FALSE)*(('3. Product Benefit Input'!$F24+'3. Product Benefit Input'!J24)*'3. Product Benefit Input'!$L24)+(VLOOKUP($D24,'0. Control Panel'!$C$7:$F$16,4,FALSE)*('3. Product Benefit Input'!$F24*'3. Product Benefit Input'!$L24)),0)</f>
        <v>0</v>
      </c>
      <c r="K24" s="24">
        <f>IFERROR((VLOOKUP($D24,'0. Control Panel'!$C$7:$F$16,4,FALSE)*('3. Product Benefit Input'!$F24+'3. Product Benefit Input'!H24)*'3. Product Benefit Input'!$L24)-(VLOOKUP($D24,'0. Control Panel'!$C$7:$F$16,4,FALSE)*('3. Product Benefit Input'!$F24+'3. Product Benefit Input'!H24)*'3. Product Benefit Input'!N24),0)</f>
        <v>0</v>
      </c>
      <c r="L24" s="24">
        <f>IFERROR((VLOOKUP($D24,'0. Control Panel'!$C$7:$F$16,4,FALSE)*('3. Product Benefit Input'!$F24+'3. Product Benefit Input'!I24)*'3. Product Benefit Input'!$L24)-(VLOOKUP($D24,'0. Control Panel'!$C$7:$F$16,4,FALSE)*('3. Product Benefit Input'!$F24+'3. Product Benefit Input'!I24)*'3. Product Benefit Input'!O24),0)</f>
        <v>0</v>
      </c>
      <c r="M24" s="24">
        <f>IFERROR((VLOOKUP($D24,'0. Control Panel'!$C$7:$F$16,4,FALSE)*('3. Product Benefit Input'!$F24+'3. Product Benefit Input'!J24)*'3. Product Benefit Input'!$L24)-(VLOOKUP($D24,'0. Control Panel'!$C$7:$F$16,4,FALSE)*('3. Product Benefit Input'!$F24+'3. Product Benefit Input'!J24)*'3. Product Benefit Input'!P24),0)</f>
        <v>0</v>
      </c>
      <c r="O24" s="24">
        <f>'3. Product Benefit Input'!T24</f>
        <v>0</v>
      </c>
      <c r="P24" s="24">
        <f>'3. Product Benefit Input'!U24</f>
        <v>0</v>
      </c>
      <c r="Q24" s="24">
        <f>'3. Product Benefit Input'!V24</f>
        <v>0</v>
      </c>
      <c r="S24" s="24">
        <f t="shared" si="17"/>
        <v>0</v>
      </c>
      <c r="T24" s="24">
        <f t="shared" si="14"/>
        <v>0</v>
      </c>
      <c r="U24" s="24">
        <f t="shared" si="15"/>
        <v>0</v>
      </c>
    </row>
    <row r="25" spans="1:21" x14ac:dyDescent="0.25">
      <c r="A25" t="str">
        <f t="shared" si="16"/>
        <v>HRP2</v>
      </c>
      <c r="C25" s="6">
        <f>IF(C24="-","-",IF(C24+1&gt;COUNTA('0. Control Panel'!$C$7:$C$16),"-",C24+1))</f>
        <v>6</v>
      </c>
      <c r="D25" s="16" t="str">
        <f>IF(C25="-","-",INDEX('0. Control Panel'!$B$6:$K$16,MATCH('3.1 Product Benefit Output'!$C25,'0. Control Panel'!$B$6:$B$16,0),MATCH(D$6,'0. Control Panel'!$B$6:$K$6,0)))</f>
        <v>HR</v>
      </c>
      <c r="E25" s="6"/>
      <c r="F25" s="2"/>
      <c r="G25" s="24">
        <f>IFERROR(-VLOOKUP($D25,'0. Control Panel'!$C$7:$F$16,4,FALSE)*(('3. Product Benefit Input'!$F25+'3. Product Benefit Input'!H25)*'3. Product Benefit Input'!$L25)+(VLOOKUP($D25,'0. Control Panel'!$C$7:$F$16,4,FALSE)*('3. Product Benefit Input'!$F25*'3. Product Benefit Input'!$L25)),0)</f>
        <v>0</v>
      </c>
      <c r="H25" s="24">
        <f>IFERROR(-VLOOKUP($D25,'0. Control Panel'!$C$7:$F$16,4,FALSE)*(('3. Product Benefit Input'!$F25+'3. Product Benefit Input'!I25)*'3. Product Benefit Input'!$L25)+(VLOOKUP($D25,'0. Control Panel'!$C$7:$F$16,4,FALSE)*('3. Product Benefit Input'!$F25*'3. Product Benefit Input'!$L25)),0)</f>
        <v>0</v>
      </c>
      <c r="I25" s="24">
        <f>IFERROR(-VLOOKUP($D25,'0. Control Panel'!$C$7:$F$16,4,FALSE)*(('3. Product Benefit Input'!$F25+'3. Product Benefit Input'!J25)*'3. Product Benefit Input'!$L25)+(VLOOKUP($D25,'0. Control Panel'!$C$7:$F$16,4,FALSE)*('3. Product Benefit Input'!$F25*'3. Product Benefit Input'!$L25)),0)</f>
        <v>0</v>
      </c>
      <c r="K25" s="24">
        <f>IFERROR((VLOOKUP($D25,'0. Control Panel'!$C$7:$F$16,4,FALSE)*('3. Product Benefit Input'!$F25+'3. Product Benefit Input'!H25)*'3. Product Benefit Input'!$L25)-(VLOOKUP($D25,'0. Control Panel'!$C$7:$F$16,4,FALSE)*('3. Product Benefit Input'!$F25+'3. Product Benefit Input'!H25)*'3. Product Benefit Input'!N25),0)</f>
        <v>0</v>
      </c>
      <c r="L25" s="24">
        <f>IFERROR((VLOOKUP($D25,'0. Control Panel'!$C$7:$F$16,4,FALSE)*('3. Product Benefit Input'!$F25+'3. Product Benefit Input'!I25)*'3. Product Benefit Input'!$L25)-(VLOOKUP($D25,'0. Control Panel'!$C$7:$F$16,4,FALSE)*('3. Product Benefit Input'!$F25+'3. Product Benefit Input'!I25)*'3. Product Benefit Input'!O25),0)</f>
        <v>0</v>
      </c>
      <c r="M25" s="24">
        <f>IFERROR((VLOOKUP($D25,'0. Control Panel'!$C$7:$F$16,4,FALSE)*('3. Product Benefit Input'!$F25+'3. Product Benefit Input'!J25)*'3. Product Benefit Input'!$L25)-(VLOOKUP($D25,'0. Control Panel'!$C$7:$F$16,4,FALSE)*('3. Product Benefit Input'!$F25+'3. Product Benefit Input'!J25)*'3. Product Benefit Input'!P25),0)</f>
        <v>0</v>
      </c>
      <c r="O25" s="24">
        <f>'3. Product Benefit Input'!T25</f>
        <v>0</v>
      </c>
      <c r="P25" s="24">
        <f>'3. Product Benefit Input'!U25</f>
        <v>0</v>
      </c>
      <c r="Q25" s="24">
        <f>'3. Product Benefit Input'!V25</f>
        <v>0</v>
      </c>
      <c r="S25" s="24">
        <f t="shared" si="17"/>
        <v>0</v>
      </c>
      <c r="T25" s="24">
        <f t="shared" si="14"/>
        <v>0</v>
      </c>
      <c r="U25" s="24">
        <f t="shared" si="15"/>
        <v>0</v>
      </c>
    </row>
    <row r="26" spans="1:21" x14ac:dyDescent="0.25">
      <c r="A26" t="str">
        <f t="shared" si="16"/>
        <v>FinanceP2</v>
      </c>
      <c r="C26" s="6">
        <f>IF(C25="-","-",IF(C25+1&gt;COUNTA('0. Control Panel'!$C$7:$C$16),"-",C25+1))</f>
        <v>7</v>
      </c>
      <c r="D26" s="16" t="str">
        <f>IF(C26="-","-",INDEX('0. Control Panel'!$B$6:$K$16,MATCH('3.1 Product Benefit Output'!$C26,'0. Control Panel'!$B$6:$B$16,0),MATCH(D$6,'0. Control Panel'!$B$6:$K$6,0)))</f>
        <v>Finance</v>
      </c>
      <c r="E26" s="6"/>
      <c r="F26" s="2"/>
      <c r="G26" s="24">
        <f>IFERROR(-VLOOKUP($D26,'0. Control Panel'!$C$7:$F$16,4,FALSE)*(('3. Product Benefit Input'!$F26+'3. Product Benefit Input'!H26)*'3. Product Benefit Input'!$L26)+(VLOOKUP($D26,'0. Control Panel'!$C$7:$F$16,4,FALSE)*('3. Product Benefit Input'!$F26*'3. Product Benefit Input'!$L26)),0)</f>
        <v>0</v>
      </c>
      <c r="H26" s="24">
        <f>IFERROR(-VLOOKUP($D26,'0. Control Panel'!$C$7:$F$16,4,FALSE)*(('3. Product Benefit Input'!$F26+'3. Product Benefit Input'!I26)*'3. Product Benefit Input'!$L26)+(VLOOKUP($D26,'0. Control Panel'!$C$7:$F$16,4,FALSE)*('3. Product Benefit Input'!$F26*'3. Product Benefit Input'!$L26)),0)</f>
        <v>0</v>
      </c>
      <c r="I26" s="24">
        <f>IFERROR(-VLOOKUP($D26,'0. Control Panel'!$C$7:$F$16,4,FALSE)*(('3. Product Benefit Input'!$F26+'3. Product Benefit Input'!J26)*'3. Product Benefit Input'!$L26)+(VLOOKUP($D26,'0. Control Panel'!$C$7:$F$16,4,FALSE)*('3. Product Benefit Input'!$F26*'3. Product Benefit Input'!$L26)),0)</f>
        <v>0</v>
      </c>
      <c r="K26" s="24">
        <f>IFERROR((VLOOKUP($D26,'0. Control Panel'!$C$7:$F$16,4,FALSE)*('3. Product Benefit Input'!$F26+'3. Product Benefit Input'!H26)*'3. Product Benefit Input'!$L26)-(VLOOKUP($D26,'0. Control Panel'!$C$7:$F$16,4,FALSE)*('3. Product Benefit Input'!$F26+'3. Product Benefit Input'!H26)*'3. Product Benefit Input'!N26),0)</f>
        <v>128790</v>
      </c>
      <c r="L26" s="24">
        <f>IFERROR((VLOOKUP($D26,'0. Control Panel'!$C$7:$F$16,4,FALSE)*('3. Product Benefit Input'!$F26+'3. Product Benefit Input'!I26)*'3. Product Benefit Input'!$L26)-(VLOOKUP($D26,'0. Control Panel'!$C$7:$F$16,4,FALSE)*('3. Product Benefit Input'!$F26+'3. Product Benefit Input'!I26)*'3. Product Benefit Input'!O26),0)</f>
        <v>386370</v>
      </c>
      <c r="M26" s="24">
        <f>IFERROR((VLOOKUP($D26,'0. Control Panel'!$C$7:$F$16,4,FALSE)*('3. Product Benefit Input'!$F26+'3. Product Benefit Input'!J26)*'3. Product Benefit Input'!$L26)-(VLOOKUP($D26,'0. Control Panel'!$C$7:$F$16,4,FALSE)*('3. Product Benefit Input'!$F26+'3. Product Benefit Input'!J26)*'3. Product Benefit Input'!P26),0)</f>
        <v>772740</v>
      </c>
      <c r="O26" s="24">
        <f>'3. Product Benefit Input'!T26</f>
        <v>0</v>
      </c>
      <c r="P26" s="24">
        <f>'3. Product Benefit Input'!U26</f>
        <v>0</v>
      </c>
      <c r="Q26" s="24">
        <f>'3. Product Benefit Input'!V26</f>
        <v>0</v>
      </c>
      <c r="S26" s="24">
        <f t="shared" si="17"/>
        <v>128790</v>
      </c>
      <c r="T26" s="24">
        <f t="shared" si="14"/>
        <v>386370</v>
      </c>
      <c r="U26" s="24">
        <f t="shared" si="15"/>
        <v>772740</v>
      </c>
    </row>
    <row r="27" spans="1:21" x14ac:dyDescent="0.25">
      <c r="A27" t="str">
        <f t="shared" si="16"/>
        <v>Head OfficeP2</v>
      </c>
      <c r="C27" s="6">
        <f>IF(C26="-","-",IF(C26+1&gt;COUNTA('0. Control Panel'!$C$7:$C$16),"-",C26+1))</f>
        <v>8</v>
      </c>
      <c r="D27" s="16" t="str">
        <f>IF(C27="-","-",INDEX('0. Control Panel'!$B$6:$K$16,MATCH('3.1 Product Benefit Output'!$C27,'0. Control Panel'!$B$6:$B$16,0),MATCH(D$6,'0. Control Panel'!$B$6:$K$6,0)))</f>
        <v>Head Office</v>
      </c>
      <c r="E27" s="6"/>
      <c r="F27" s="2"/>
      <c r="G27" s="24">
        <f>IFERROR(-VLOOKUP($D27,'0. Control Panel'!$C$7:$F$16,4,FALSE)*(('3. Product Benefit Input'!$F27+'3. Product Benefit Input'!H27)*'3. Product Benefit Input'!$L27)+(VLOOKUP($D27,'0. Control Panel'!$C$7:$F$16,4,FALSE)*('3. Product Benefit Input'!$F27*'3. Product Benefit Input'!$L27)),0)</f>
        <v>0</v>
      </c>
      <c r="H27" s="24">
        <f>IFERROR(-VLOOKUP($D27,'0. Control Panel'!$C$7:$F$16,4,FALSE)*(('3. Product Benefit Input'!$F27+'3. Product Benefit Input'!I27)*'3. Product Benefit Input'!$L27)+(VLOOKUP($D27,'0. Control Panel'!$C$7:$F$16,4,FALSE)*('3. Product Benefit Input'!$F27*'3. Product Benefit Input'!$L27)),0)</f>
        <v>0</v>
      </c>
      <c r="I27" s="24">
        <f>IFERROR(-VLOOKUP($D27,'0. Control Panel'!$C$7:$F$16,4,FALSE)*(('3. Product Benefit Input'!$F27+'3. Product Benefit Input'!J27)*'3. Product Benefit Input'!$L27)+(VLOOKUP($D27,'0. Control Panel'!$C$7:$F$16,4,FALSE)*('3. Product Benefit Input'!$F27*'3. Product Benefit Input'!$L27)),0)</f>
        <v>0</v>
      </c>
      <c r="K27" s="24">
        <f>IFERROR((VLOOKUP($D27,'0. Control Panel'!$C$7:$F$16,4,FALSE)*('3. Product Benefit Input'!$F27+'3. Product Benefit Input'!H27)*'3. Product Benefit Input'!$L27)-(VLOOKUP($D27,'0. Control Panel'!$C$7:$F$16,4,FALSE)*('3. Product Benefit Input'!$F27+'3. Product Benefit Input'!H27)*'3. Product Benefit Input'!N27),0)</f>
        <v>61560</v>
      </c>
      <c r="L27" s="24">
        <f>IFERROR((VLOOKUP($D27,'0. Control Panel'!$C$7:$F$16,4,FALSE)*('3. Product Benefit Input'!$F27+'3. Product Benefit Input'!I27)*'3. Product Benefit Input'!$L27)-(VLOOKUP($D27,'0. Control Panel'!$C$7:$F$16,4,FALSE)*('3. Product Benefit Input'!$F27+'3. Product Benefit Input'!I27)*'3. Product Benefit Input'!O27),0)</f>
        <v>123120</v>
      </c>
      <c r="M27" s="24">
        <f>IFERROR((VLOOKUP($D27,'0. Control Panel'!$C$7:$F$16,4,FALSE)*('3. Product Benefit Input'!$F27+'3. Product Benefit Input'!J27)*'3. Product Benefit Input'!$L27)-(VLOOKUP($D27,'0. Control Panel'!$C$7:$F$16,4,FALSE)*('3. Product Benefit Input'!$F27+'3. Product Benefit Input'!J27)*'3. Product Benefit Input'!P27),0)</f>
        <v>246240</v>
      </c>
      <c r="O27" s="24">
        <f>'3. Product Benefit Input'!T27</f>
        <v>0</v>
      </c>
      <c r="P27" s="24">
        <f>'3. Product Benefit Input'!U27</f>
        <v>0</v>
      </c>
      <c r="Q27" s="24">
        <f>'3. Product Benefit Input'!V27</f>
        <v>0</v>
      </c>
      <c r="S27" s="24">
        <f t="shared" si="17"/>
        <v>61560</v>
      </c>
      <c r="T27" s="24">
        <f t="shared" si="14"/>
        <v>123120</v>
      </c>
      <c r="U27" s="24">
        <f t="shared" si="15"/>
        <v>246240</v>
      </c>
    </row>
    <row r="28" spans="1:21" x14ac:dyDescent="0.25">
      <c r="A28" t="str">
        <f t="shared" si="16"/>
        <v>-P2</v>
      </c>
      <c r="C28" s="6" t="str">
        <f>IF(C27="-","-",IF(C27+1&gt;COUNTA('0. Control Panel'!$C$7:$C$16),"-",C27+1))</f>
        <v>-</v>
      </c>
      <c r="D28" s="16" t="str">
        <f>IF(C28="-","-",INDEX('0. Control Panel'!$B$6:$K$16,MATCH('3.1 Product Benefit Output'!$C28,'0. Control Panel'!$B$6:$B$16,0),MATCH(D$6,'0. Control Panel'!$B$6:$K$6,0)))</f>
        <v>-</v>
      </c>
      <c r="E28" s="6"/>
      <c r="F28" s="2"/>
      <c r="G28" s="24">
        <f>IFERROR(-VLOOKUP($D28,'0. Control Panel'!$C$7:$F$16,4,FALSE)*(('3. Product Benefit Input'!$F28+'3. Product Benefit Input'!H28)*'3. Product Benefit Input'!$L28)+(VLOOKUP($D28,'0. Control Panel'!$C$7:$F$16,4,FALSE)*('3. Product Benefit Input'!$F28*'3. Product Benefit Input'!$L28)),0)</f>
        <v>0</v>
      </c>
      <c r="H28" s="24">
        <f>IFERROR(-VLOOKUP($D28,'0. Control Panel'!$C$7:$F$16,4,FALSE)*(('3. Product Benefit Input'!$F28+'3. Product Benefit Input'!I28)*'3. Product Benefit Input'!$L28)+(VLOOKUP($D28,'0. Control Panel'!$C$7:$F$16,4,FALSE)*('3. Product Benefit Input'!$F28*'3. Product Benefit Input'!$L28)),0)</f>
        <v>0</v>
      </c>
      <c r="I28" s="24">
        <f>IFERROR(-VLOOKUP($D28,'0. Control Panel'!$C$7:$F$16,4,FALSE)*(('3. Product Benefit Input'!$F28+'3. Product Benefit Input'!J28)*'3. Product Benefit Input'!$L28)+(VLOOKUP($D28,'0. Control Panel'!$C$7:$F$16,4,FALSE)*('3. Product Benefit Input'!$F28*'3. Product Benefit Input'!$L28)),0)</f>
        <v>0</v>
      </c>
      <c r="K28" s="24">
        <f>IFERROR((VLOOKUP($D28,'0. Control Panel'!$C$7:$F$16,4,FALSE)*('3. Product Benefit Input'!$F28+'3. Product Benefit Input'!H28)*'3. Product Benefit Input'!$L28)-(VLOOKUP($D28,'0. Control Panel'!$C$7:$F$16,4,FALSE)*('3. Product Benefit Input'!$F28+'3. Product Benefit Input'!H28)*'3. Product Benefit Input'!N28),0)</f>
        <v>0</v>
      </c>
      <c r="L28" s="24">
        <f>IFERROR((VLOOKUP($D28,'0. Control Panel'!$C$7:$F$16,4,FALSE)*('3. Product Benefit Input'!$F28+'3. Product Benefit Input'!I28)*'3. Product Benefit Input'!$L28)-(VLOOKUP($D28,'0. Control Panel'!$C$7:$F$16,4,FALSE)*('3. Product Benefit Input'!$F28+'3. Product Benefit Input'!I28)*'3. Product Benefit Input'!O28),0)</f>
        <v>0</v>
      </c>
      <c r="M28" s="24">
        <f>IFERROR((VLOOKUP($D28,'0. Control Panel'!$C$7:$F$16,4,FALSE)*('3. Product Benefit Input'!$F28+'3. Product Benefit Input'!J28)*'3. Product Benefit Input'!$L28)-(VLOOKUP($D28,'0. Control Panel'!$C$7:$F$16,4,FALSE)*('3. Product Benefit Input'!$F28+'3. Product Benefit Input'!J28)*'3. Product Benefit Input'!P28),0)</f>
        <v>0</v>
      </c>
      <c r="O28" s="24">
        <f>'3. Product Benefit Input'!T28</f>
        <v>0</v>
      </c>
      <c r="P28" s="24">
        <f>'3. Product Benefit Input'!U28</f>
        <v>0</v>
      </c>
      <c r="Q28" s="24">
        <f>'3. Product Benefit Input'!V28</f>
        <v>0</v>
      </c>
      <c r="S28" s="24">
        <f t="shared" si="17"/>
        <v>0</v>
      </c>
      <c r="T28" s="24">
        <f t="shared" si="14"/>
        <v>0</v>
      </c>
      <c r="U28" s="24">
        <f t="shared" si="15"/>
        <v>0</v>
      </c>
    </row>
    <row r="29" spans="1:21" x14ac:dyDescent="0.25">
      <c r="A29" t="str">
        <f t="shared" si="16"/>
        <v>-P2</v>
      </c>
      <c r="C29" s="7" t="str">
        <f>IF(C28="-","-",IF(C28+1&gt;COUNTA('0. Control Panel'!$C$7:$C$16),"-",C28+1))</f>
        <v>-</v>
      </c>
      <c r="D29" s="17" t="str">
        <f>IF(C29="-","-",INDEX('0. Control Panel'!$B$6:$K$16,MATCH('3.1 Product Benefit Output'!$C29,'0. Control Panel'!$B$6:$B$16,0),MATCH(D$6,'0. Control Panel'!$B$6:$K$6,0)))</f>
        <v>-</v>
      </c>
      <c r="E29" s="7"/>
      <c r="F29" s="2"/>
      <c r="G29" s="24">
        <f>IFERROR(-VLOOKUP($D29,'0. Control Panel'!$C$7:$F$16,4,FALSE)*(('3. Product Benefit Input'!$F29+'3. Product Benefit Input'!H29)*'3. Product Benefit Input'!$L29)+(VLOOKUP($D29,'0. Control Panel'!$C$7:$F$16,4,FALSE)*('3. Product Benefit Input'!$F29*'3. Product Benefit Input'!$L29)),0)</f>
        <v>0</v>
      </c>
      <c r="H29" s="24">
        <f>IFERROR(-VLOOKUP($D29,'0. Control Panel'!$C$7:$F$16,4,FALSE)*(('3. Product Benefit Input'!$F29+'3. Product Benefit Input'!I29)*'3. Product Benefit Input'!$L29)+(VLOOKUP($D29,'0. Control Panel'!$C$7:$F$16,4,FALSE)*('3. Product Benefit Input'!$F29*'3. Product Benefit Input'!$L29)),0)</f>
        <v>0</v>
      </c>
      <c r="I29" s="24">
        <f>IFERROR(-VLOOKUP($D29,'0. Control Panel'!$C$7:$F$16,4,FALSE)*(('3. Product Benefit Input'!$F29+'3. Product Benefit Input'!J29)*'3. Product Benefit Input'!$L29)+(VLOOKUP($D29,'0. Control Panel'!$C$7:$F$16,4,FALSE)*('3. Product Benefit Input'!$F29*'3. Product Benefit Input'!$L29)),0)</f>
        <v>0</v>
      </c>
      <c r="K29" s="24">
        <f>IFERROR((VLOOKUP($D29,'0. Control Panel'!$C$7:$F$16,4,FALSE)*('3. Product Benefit Input'!$F29+'3. Product Benefit Input'!H29)*'3. Product Benefit Input'!$L29)-(VLOOKUP($D29,'0. Control Panel'!$C$7:$F$16,4,FALSE)*('3. Product Benefit Input'!$F29+'3. Product Benefit Input'!H29)*'3. Product Benefit Input'!N29),0)</f>
        <v>0</v>
      </c>
      <c r="L29" s="24">
        <f>IFERROR((VLOOKUP($D29,'0. Control Panel'!$C$7:$F$16,4,FALSE)*('3. Product Benefit Input'!$F29+'3. Product Benefit Input'!I29)*'3. Product Benefit Input'!$L29)-(VLOOKUP($D29,'0. Control Panel'!$C$7:$F$16,4,FALSE)*('3. Product Benefit Input'!$F29+'3. Product Benefit Input'!I29)*'3. Product Benefit Input'!O29),0)</f>
        <v>0</v>
      </c>
      <c r="M29" s="24">
        <f>IFERROR((VLOOKUP($D29,'0. Control Panel'!$C$7:$F$16,4,FALSE)*('3. Product Benefit Input'!$F29+'3. Product Benefit Input'!J29)*'3. Product Benefit Input'!$L29)-(VLOOKUP($D29,'0. Control Panel'!$C$7:$F$16,4,FALSE)*('3. Product Benefit Input'!$F29+'3. Product Benefit Input'!J29)*'3. Product Benefit Input'!P29),0)</f>
        <v>0</v>
      </c>
      <c r="O29" s="24">
        <f>'3. Product Benefit Input'!T29</f>
        <v>0</v>
      </c>
      <c r="P29" s="24">
        <f>'3. Product Benefit Input'!U29</f>
        <v>0</v>
      </c>
      <c r="Q29" s="24">
        <f>'3. Product Benefit Input'!V29</f>
        <v>0</v>
      </c>
      <c r="S29" s="24">
        <f t="shared" si="17"/>
        <v>0</v>
      </c>
      <c r="T29" s="24">
        <f t="shared" si="14"/>
        <v>0</v>
      </c>
      <c r="U29" s="24">
        <f t="shared" si="15"/>
        <v>0</v>
      </c>
    </row>
    <row r="30" spans="1:21" ht="16.5" thickBot="1" x14ac:dyDescent="0.3">
      <c r="A30" s="22" t="str">
        <f>D30&amp;$C$19</f>
        <v>All Departments/FunctionsP2</v>
      </c>
      <c r="B30" s="22"/>
      <c r="C30" s="23"/>
      <c r="D30" s="27" t="str">
        <f>D17</f>
        <v>All Departments/Functions</v>
      </c>
      <c r="E30" s="23"/>
      <c r="F30" s="23"/>
      <c r="G30" s="28">
        <f>SUM(G20:G29)</f>
        <v>0</v>
      </c>
      <c r="H30" s="28">
        <f t="shared" ref="H30" si="18">SUM(H20:H29)</f>
        <v>0</v>
      </c>
      <c r="I30" s="28">
        <f t="shared" ref="I30" si="19">SUM(I20:I29)</f>
        <v>0</v>
      </c>
      <c r="J30" s="23"/>
      <c r="K30" s="28">
        <f>SUM(K20:K29)</f>
        <v>190350</v>
      </c>
      <c r="L30" s="28">
        <f t="shared" ref="L30" si="20">SUM(L20:L29)</f>
        <v>509490</v>
      </c>
      <c r="M30" s="28">
        <f t="shared" ref="M30" si="21">SUM(M20:M29)</f>
        <v>1018980</v>
      </c>
      <c r="N30" s="29"/>
      <c r="O30" s="28">
        <f t="shared" ref="O30" si="22">SUM(O20:O29)</f>
        <v>0</v>
      </c>
      <c r="P30" s="28">
        <f t="shared" ref="P30" si="23">SUM(P20:P29)</f>
        <v>0</v>
      </c>
      <c r="Q30" s="28">
        <f t="shared" ref="Q30" si="24">SUM(Q20:Q29)</f>
        <v>0</v>
      </c>
      <c r="R30" s="29"/>
      <c r="S30" s="28">
        <f t="shared" ref="S30" si="25">SUM(S20:S29)</f>
        <v>190350</v>
      </c>
      <c r="T30" s="28">
        <f t="shared" ref="T30" si="26">SUM(T20:T29)</f>
        <v>509490</v>
      </c>
      <c r="U30" s="28">
        <f t="shared" ref="U30" si="27">SUM(U20:U29)</f>
        <v>1018980</v>
      </c>
    </row>
    <row r="31" spans="1:21" ht="16.5" thickTop="1" x14ac:dyDescent="0.25"/>
    <row r="32" spans="1:21" ht="15.95" customHeight="1" x14ac:dyDescent="0.25">
      <c r="C32" s="12" t="s">
        <v>24</v>
      </c>
      <c r="D32" s="30" t="str">
        <f>IF(INDEX('0. Control Panel'!$B$31:$C$41,MATCH('3.1 Product Benefit Output'!$C32,'0. Control Panel'!$B$31:$B$41,0),2)="","n/a",INDEX('0. Control Panel'!$B$31:$C$41,MATCH('3.1 Product Benefit Output'!$C32,'0. Control Panel'!$B$31:$B$41,0),2))</f>
        <v>Reduced Integration Costs</v>
      </c>
      <c r="G32"/>
      <c r="H32"/>
      <c r="I32"/>
      <c r="J32"/>
      <c r="K32"/>
      <c r="L32"/>
      <c r="M32"/>
      <c r="N32"/>
      <c r="O32"/>
      <c r="P32"/>
      <c r="Q32"/>
      <c r="R32"/>
      <c r="S32"/>
      <c r="T32"/>
      <c r="U32"/>
    </row>
    <row r="33" spans="1:21" x14ac:dyDescent="0.25">
      <c r="A33" t="str">
        <f>D33&amp;$C$32</f>
        <v>ITP3</v>
      </c>
      <c r="C33" s="5">
        <v>1</v>
      </c>
      <c r="D33" s="15" t="str">
        <f>IF(C33="-","-",INDEX('0. Control Panel'!$B$6:$K$16,MATCH('3.1 Product Benefit Output'!$C33,'0. Control Panel'!$B$6:$B$16,0),MATCH(D$6,'0. Control Panel'!$B$6:$K$6,0)))</f>
        <v>IT</v>
      </c>
      <c r="E33" s="5"/>
      <c r="F33" s="2"/>
      <c r="G33" s="24">
        <f>IFERROR(-VLOOKUP($D33,'0. Control Panel'!$C$7:$F$16,4,FALSE)*(('3. Product Benefit Input'!$F33+'3. Product Benefit Input'!H33)*'3. Product Benefit Input'!$L33)+(VLOOKUP($D33,'0. Control Panel'!$C$7:$F$16,4,FALSE)*('3. Product Benefit Input'!$F33*'3. Product Benefit Input'!$L33)),0)</f>
        <v>0</v>
      </c>
      <c r="H33" s="24">
        <f>IFERROR(-VLOOKUP($D33,'0. Control Panel'!$C$7:$F$16,4,FALSE)*(('3. Product Benefit Input'!$F33+'3. Product Benefit Input'!I33)*'3. Product Benefit Input'!$L33)+(VLOOKUP($D33,'0. Control Panel'!$C$7:$F$16,4,FALSE)*('3. Product Benefit Input'!$F33*'3. Product Benefit Input'!$L33)),0)</f>
        <v>0</v>
      </c>
      <c r="I33" s="24">
        <f>IFERROR(-VLOOKUP($D33,'0. Control Panel'!$C$7:$F$16,4,FALSE)*(('3. Product Benefit Input'!$F33+'3. Product Benefit Input'!J33)*'3. Product Benefit Input'!$L33)+(VLOOKUP($D33,'0. Control Panel'!$C$7:$F$16,4,FALSE)*('3. Product Benefit Input'!$F33*'3. Product Benefit Input'!$L33)),0)</f>
        <v>0</v>
      </c>
      <c r="K33" s="24">
        <f>IFERROR((VLOOKUP($D33,'0. Control Panel'!$C$7:$F$16,4,FALSE)*('3. Product Benefit Input'!$F33+'3. Product Benefit Input'!H33)*'3. Product Benefit Input'!$L33)-(VLOOKUP($D33,'0. Control Panel'!$C$7:$F$16,4,FALSE)*('3. Product Benefit Input'!$F33+'3. Product Benefit Input'!H33)*'3. Product Benefit Input'!N33),0)</f>
        <v>0</v>
      </c>
      <c r="L33" s="24">
        <f>IFERROR((VLOOKUP($D33,'0. Control Panel'!$C$7:$F$16,4,FALSE)*('3. Product Benefit Input'!$F33+'3. Product Benefit Input'!I33)*'3. Product Benefit Input'!$L33)-(VLOOKUP($D33,'0. Control Panel'!$C$7:$F$16,4,FALSE)*('3. Product Benefit Input'!$F33+'3. Product Benefit Input'!I33)*'3. Product Benefit Input'!O33),0)</f>
        <v>0</v>
      </c>
      <c r="M33" s="24">
        <f>IFERROR((VLOOKUP($D33,'0. Control Panel'!$C$7:$F$16,4,FALSE)*('3. Product Benefit Input'!$F33+'3. Product Benefit Input'!J33)*'3. Product Benefit Input'!$L33)-(VLOOKUP($D33,'0. Control Panel'!$C$7:$F$16,4,FALSE)*('3. Product Benefit Input'!$F33+'3. Product Benefit Input'!J33)*'3. Product Benefit Input'!P33),0)</f>
        <v>0</v>
      </c>
      <c r="O33" s="24">
        <f>'3. Product Benefit Input'!T33</f>
        <v>0</v>
      </c>
      <c r="P33" s="24">
        <f>'3. Product Benefit Input'!U33</f>
        <v>0</v>
      </c>
      <c r="Q33" s="24">
        <f>'3. Product Benefit Input'!V33</f>
        <v>0</v>
      </c>
      <c r="S33" s="24">
        <f>SUM(G33,K33,O33)</f>
        <v>0</v>
      </c>
      <c r="T33" s="24">
        <f t="shared" ref="T33:T42" si="28">SUM(H33,L33,P33)</f>
        <v>0</v>
      </c>
      <c r="U33" s="24">
        <f t="shared" ref="U33:U42" si="29">SUM(I33,M33,Q33)</f>
        <v>0</v>
      </c>
    </row>
    <row r="34" spans="1:21" x14ac:dyDescent="0.25">
      <c r="A34" t="str">
        <f t="shared" ref="A34:A42" si="30">D34&amp;$C$32</f>
        <v>SalesP3</v>
      </c>
      <c r="C34" s="6">
        <f>IF(C33="-","-",IF(C33+1&gt;COUNTA('0. Control Panel'!$C$7:$C$16),"-",C33+1))</f>
        <v>2</v>
      </c>
      <c r="D34" s="16" t="str">
        <f>IF(C34="-","-",INDEX('0. Control Panel'!$B$6:$K$16,MATCH('3.1 Product Benefit Output'!$C34,'0. Control Panel'!$B$6:$B$16,0),MATCH(D$6,'0. Control Panel'!$B$6:$K$6,0)))</f>
        <v>Sales</v>
      </c>
      <c r="E34" s="6"/>
      <c r="F34" s="2"/>
      <c r="G34" s="24">
        <f>IFERROR(-VLOOKUP($D34,'0. Control Panel'!$C$7:$F$16,4,FALSE)*(('3. Product Benefit Input'!$F34+'3. Product Benefit Input'!H34)*'3. Product Benefit Input'!$L34)+(VLOOKUP($D34,'0. Control Panel'!$C$7:$F$16,4,FALSE)*('3. Product Benefit Input'!$F34*'3. Product Benefit Input'!$L34)),0)</f>
        <v>0</v>
      </c>
      <c r="H34" s="24">
        <f>IFERROR(-VLOOKUP($D34,'0. Control Panel'!$C$7:$F$16,4,FALSE)*(('3. Product Benefit Input'!$F34+'3. Product Benefit Input'!I34)*'3. Product Benefit Input'!$L34)+(VLOOKUP($D34,'0. Control Panel'!$C$7:$F$16,4,FALSE)*('3. Product Benefit Input'!$F34*'3. Product Benefit Input'!$L34)),0)</f>
        <v>0</v>
      </c>
      <c r="I34" s="24">
        <f>IFERROR(-VLOOKUP($D34,'0. Control Panel'!$C$7:$F$16,4,FALSE)*(('3. Product Benefit Input'!$F34+'3. Product Benefit Input'!J34)*'3. Product Benefit Input'!$L34)+(VLOOKUP($D34,'0. Control Panel'!$C$7:$F$16,4,FALSE)*('3. Product Benefit Input'!$F34*'3. Product Benefit Input'!$L34)),0)</f>
        <v>0</v>
      </c>
      <c r="K34" s="24">
        <f>IFERROR((VLOOKUP($D34,'0. Control Panel'!$C$7:$F$16,4,FALSE)*('3. Product Benefit Input'!$F34+'3. Product Benefit Input'!H34)*'3. Product Benefit Input'!$L34)-(VLOOKUP($D34,'0. Control Panel'!$C$7:$F$16,4,FALSE)*('3. Product Benefit Input'!$F34+'3. Product Benefit Input'!H34)*'3. Product Benefit Input'!N34),0)</f>
        <v>0</v>
      </c>
      <c r="L34" s="24">
        <f>IFERROR((VLOOKUP($D34,'0. Control Panel'!$C$7:$F$16,4,FALSE)*('3. Product Benefit Input'!$F34+'3. Product Benefit Input'!I34)*'3. Product Benefit Input'!$L34)-(VLOOKUP($D34,'0. Control Panel'!$C$7:$F$16,4,FALSE)*('3. Product Benefit Input'!$F34+'3. Product Benefit Input'!I34)*'3. Product Benefit Input'!O34),0)</f>
        <v>0</v>
      </c>
      <c r="M34" s="24">
        <f>IFERROR((VLOOKUP($D34,'0. Control Panel'!$C$7:$F$16,4,FALSE)*('3. Product Benefit Input'!$F34+'3. Product Benefit Input'!J34)*'3. Product Benefit Input'!$L34)-(VLOOKUP($D34,'0. Control Panel'!$C$7:$F$16,4,FALSE)*('3. Product Benefit Input'!$F34+'3. Product Benefit Input'!J34)*'3. Product Benefit Input'!P34),0)</f>
        <v>0</v>
      </c>
      <c r="O34" s="24">
        <f>'3. Product Benefit Input'!T34</f>
        <v>0</v>
      </c>
      <c r="P34" s="24">
        <f>'3. Product Benefit Input'!U34</f>
        <v>0</v>
      </c>
      <c r="Q34" s="24">
        <f>'3. Product Benefit Input'!V34</f>
        <v>0</v>
      </c>
      <c r="S34" s="24">
        <f t="shared" ref="S34:S42" si="31">SUM(G34,K34,O34)</f>
        <v>0</v>
      </c>
      <c r="T34" s="24">
        <f t="shared" si="28"/>
        <v>0</v>
      </c>
      <c r="U34" s="24">
        <f t="shared" si="29"/>
        <v>0</v>
      </c>
    </row>
    <row r="35" spans="1:21" x14ac:dyDescent="0.25">
      <c r="A35" t="str">
        <f t="shared" si="30"/>
        <v>Product AP3</v>
      </c>
      <c r="C35" s="6">
        <f>IF(C34="-","-",IF(C34+1&gt;COUNTA('0. Control Panel'!$C$7:$C$16),"-",C34+1))</f>
        <v>3</v>
      </c>
      <c r="D35" s="16" t="str">
        <f>IF(C35="-","-",INDEX('0. Control Panel'!$B$6:$K$16,MATCH('3.1 Product Benefit Output'!$C35,'0. Control Panel'!$B$6:$B$16,0),MATCH(D$6,'0. Control Panel'!$B$6:$K$6,0)))</f>
        <v>Product A</v>
      </c>
      <c r="E35" s="6"/>
      <c r="F35" s="2"/>
      <c r="G35" s="24">
        <f>IFERROR(-VLOOKUP($D35,'0. Control Panel'!$C$7:$F$16,4,FALSE)*(('3. Product Benefit Input'!$F35+'3. Product Benefit Input'!H35)*'3. Product Benefit Input'!$L35)+(VLOOKUP($D35,'0. Control Panel'!$C$7:$F$16,4,FALSE)*('3. Product Benefit Input'!$F35*'3. Product Benefit Input'!$L35)),0)</f>
        <v>0</v>
      </c>
      <c r="H35" s="24">
        <f>IFERROR(-VLOOKUP($D35,'0. Control Panel'!$C$7:$F$16,4,FALSE)*(('3. Product Benefit Input'!$F35+'3. Product Benefit Input'!I35)*'3. Product Benefit Input'!$L35)+(VLOOKUP($D35,'0. Control Panel'!$C$7:$F$16,4,FALSE)*('3. Product Benefit Input'!$F35*'3. Product Benefit Input'!$L35)),0)</f>
        <v>0</v>
      </c>
      <c r="I35" s="24">
        <f>IFERROR(-VLOOKUP($D35,'0. Control Panel'!$C$7:$F$16,4,FALSE)*(('3. Product Benefit Input'!$F35+'3. Product Benefit Input'!J35)*'3. Product Benefit Input'!$L35)+(VLOOKUP($D35,'0. Control Panel'!$C$7:$F$16,4,FALSE)*('3. Product Benefit Input'!$F35*'3. Product Benefit Input'!$L35)),0)</f>
        <v>0</v>
      </c>
      <c r="K35" s="24">
        <f>IFERROR((VLOOKUP($D35,'0. Control Panel'!$C$7:$F$16,4,FALSE)*('3. Product Benefit Input'!$F35+'3. Product Benefit Input'!H35)*'3. Product Benefit Input'!$L35)-(VLOOKUP($D35,'0. Control Panel'!$C$7:$F$16,4,FALSE)*('3. Product Benefit Input'!$F35+'3. Product Benefit Input'!H35)*'3. Product Benefit Input'!N35),0)</f>
        <v>0</v>
      </c>
      <c r="L35" s="24">
        <f>IFERROR((VLOOKUP($D35,'0. Control Panel'!$C$7:$F$16,4,FALSE)*('3. Product Benefit Input'!$F35+'3. Product Benefit Input'!I35)*'3. Product Benefit Input'!$L35)-(VLOOKUP($D35,'0. Control Panel'!$C$7:$F$16,4,FALSE)*('3. Product Benefit Input'!$F35+'3. Product Benefit Input'!I35)*'3. Product Benefit Input'!O35),0)</f>
        <v>0</v>
      </c>
      <c r="M35" s="24">
        <f>IFERROR((VLOOKUP($D35,'0. Control Panel'!$C$7:$F$16,4,FALSE)*('3. Product Benefit Input'!$F35+'3. Product Benefit Input'!J35)*'3. Product Benefit Input'!$L35)-(VLOOKUP($D35,'0. Control Panel'!$C$7:$F$16,4,FALSE)*('3. Product Benefit Input'!$F35+'3. Product Benefit Input'!J35)*'3. Product Benefit Input'!P35),0)</f>
        <v>0</v>
      </c>
      <c r="O35" s="24">
        <f>'3. Product Benefit Input'!T35</f>
        <v>0</v>
      </c>
      <c r="P35" s="24">
        <f>'3. Product Benefit Input'!U35</f>
        <v>0</v>
      </c>
      <c r="Q35" s="24">
        <f>'3. Product Benefit Input'!V35</f>
        <v>0</v>
      </c>
      <c r="S35" s="24">
        <f t="shared" si="31"/>
        <v>0</v>
      </c>
      <c r="T35" s="24">
        <f t="shared" si="28"/>
        <v>0</v>
      </c>
      <c r="U35" s="24">
        <f t="shared" si="29"/>
        <v>0</v>
      </c>
    </row>
    <row r="36" spans="1:21" x14ac:dyDescent="0.25">
      <c r="A36" t="str">
        <f t="shared" si="30"/>
        <v>Product BP3</v>
      </c>
      <c r="C36" s="6">
        <f>IF(C35="-","-",IF(C35+1&gt;COUNTA('0. Control Panel'!$C$7:$C$16),"-",C35+1))</f>
        <v>4</v>
      </c>
      <c r="D36" s="16" t="str">
        <f>IF(C36="-","-",INDEX('0. Control Panel'!$B$6:$K$16,MATCH('3.1 Product Benefit Output'!$C36,'0. Control Panel'!$B$6:$B$16,0),MATCH(D$6,'0. Control Panel'!$B$6:$K$6,0)))</f>
        <v>Product B</v>
      </c>
      <c r="E36" s="6"/>
      <c r="F36" s="2"/>
      <c r="G36" s="24">
        <f>IFERROR(-VLOOKUP($D36,'0. Control Panel'!$C$7:$F$16,4,FALSE)*(('3. Product Benefit Input'!$F36+'3. Product Benefit Input'!H36)*'3. Product Benefit Input'!$L36)+(VLOOKUP($D36,'0. Control Panel'!$C$7:$F$16,4,FALSE)*('3. Product Benefit Input'!$F36*'3. Product Benefit Input'!$L36)),0)</f>
        <v>0</v>
      </c>
      <c r="H36" s="24">
        <f>IFERROR(-VLOOKUP($D36,'0. Control Panel'!$C$7:$F$16,4,FALSE)*(('3. Product Benefit Input'!$F36+'3. Product Benefit Input'!I36)*'3. Product Benefit Input'!$L36)+(VLOOKUP($D36,'0. Control Panel'!$C$7:$F$16,4,FALSE)*('3. Product Benefit Input'!$F36*'3. Product Benefit Input'!$L36)),0)</f>
        <v>0</v>
      </c>
      <c r="I36" s="24">
        <f>IFERROR(-VLOOKUP($D36,'0. Control Panel'!$C$7:$F$16,4,FALSE)*(('3. Product Benefit Input'!$F36+'3. Product Benefit Input'!J36)*'3. Product Benefit Input'!$L36)+(VLOOKUP($D36,'0. Control Panel'!$C$7:$F$16,4,FALSE)*('3. Product Benefit Input'!$F36*'3. Product Benefit Input'!$L36)),0)</f>
        <v>0</v>
      </c>
      <c r="K36" s="24">
        <f>IFERROR((VLOOKUP($D36,'0. Control Panel'!$C$7:$F$16,4,FALSE)*('3. Product Benefit Input'!$F36+'3. Product Benefit Input'!H36)*'3. Product Benefit Input'!$L36)-(VLOOKUP($D36,'0. Control Panel'!$C$7:$F$16,4,FALSE)*('3. Product Benefit Input'!$F36+'3. Product Benefit Input'!H36)*'3. Product Benefit Input'!N36),0)</f>
        <v>0</v>
      </c>
      <c r="L36" s="24">
        <f>IFERROR((VLOOKUP($D36,'0. Control Panel'!$C$7:$F$16,4,FALSE)*('3. Product Benefit Input'!$F36+'3. Product Benefit Input'!I36)*'3. Product Benefit Input'!$L36)-(VLOOKUP($D36,'0. Control Panel'!$C$7:$F$16,4,FALSE)*('3. Product Benefit Input'!$F36+'3. Product Benefit Input'!I36)*'3. Product Benefit Input'!O36),0)</f>
        <v>0</v>
      </c>
      <c r="M36" s="24">
        <f>IFERROR((VLOOKUP($D36,'0. Control Panel'!$C$7:$F$16,4,FALSE)*('3. Product Benefit Input'!$F36+'3. Product Benefit Input'!J36)*'3. Product Benefit Input'!$L36)-(VLOOKUP($D36,'0. Control Panel'!$C$7:$F$16,4,FALSE)*('3. Product Benefit Input'!$F36+'3. Product Benefit Input'!J36)*'3. Product Benefit Input'!P36),0)</f>
        <v>0</v>
      </c>
      <c r="O36" s="24">
        <f>'3. Product Benefit Input'!T36</f>
        <v>0</v>
      </c>
      <c r="P36" s="24">
        <f>'3. Product Benefit Input'!U36</f>
        <v>0</v>
      </c>
      <c r="Q36" s="24">
        <f>'3. Product Benefit Input'!V36</f>
        <v>0</v>
      </c>
      <c r="S36" s="24">
        <f t="shared" si="31"/>
        <v>0</v>
      </c>
      <c r="T36" s="24">
        <f t="shared" si="28"/>
        <v>0</v>
      </c>
      <c r="U36" s="24">
        <f t="shared" si="29"/>
        <v>0</v>
      </c>
    </row>
    <row r="37" spans="1:21" x14ac:dyDescent="0.25">
      <c r="A37" t="str">
        <f t="shared" si="30"/>
        <v>R&amp;DP3</v>
      </c>
      <c r="C37" s="6">
        <f>IF(C36="-","-",IF(C36+1&gt;COUNTA('0. Control Panel'!$C$7:$C$16),"-",C36+1))</f>
        <v>5</v>
      </c>
      <c r="D37" s="16" t="str">
        <f>IF(C37="-","-",INDEX('0. Control Panel'!$B$6:$K$16,MATCH('3.1 Product Benefit Output'!$C37,'0. Control Panel'!$B$6:$B$16,0),MATCH(D$6,'0. Control Panel'!$B$6:$K$6,0)))</f>
        <v>R&amp;D</v>
      </c>
      <c r="E37" s="6"/>
      <c r="F37" s="2"/>
      <c r="G37" s="24">
        <f>IFERROR(-VLOOKUP($D37,'0. Control Panel'!$C$7:$F$16,4,FALSE)*(('3. Product Benefit Input'!$F37+'3. Product Benefit Input'!H37)*'3. Product Benefit Input'!$L37)+(VLOOKUP($D37,'0. Control Panel'!$C$7:$F$16,4,FALSE)*('3. Product Benefit Input'!$F37*'3. Product Benefit Input'!$L37)),0)</f>
        <v>0</v>
      </c>
      <c r="H37" s="24">
        <f>IFERROR(-VLOOKUP($D37,'0. Control Panel'!$C$7:$F$16,4,FALSE)*(('3. Product Benefit Input'!$F37+'3. Product Benefit Input'!I37)*'3. Product Benefit Input'!$L37)+(VLOOKUP($D37,'0. Control Panel'!$C$7:$F$16,4,FALSE)*('3. Product Benefit Input'!$F37*'3. Product Benefit Input'!$L37)),0)</f>
        <v>0</v>
      </c>
      <c r="I37" s="24">
        <f>IFERROR(-VLOOKUP($D37,'0. Control Panel'!$C$7:$F$16,4,FALSE)*(('3. Product Benefit Input'!$F37+'3. Product Benefit Input'!J37)*'3. Product Benefit Input'!$L37)+(VLOOKUP($D37,'0. Control Panel'!$C$7:$F$16,4,FALSE)*('3. Product Benefit Input'!$F37*'3. Product Benefit Input'!$L37)),0)</f>
        <v>0</v>
      </c>
      <c r="K37" s="24">
        <f>IFERROR((VLOOKUP($D37,'0. Control Panel'!$C$7:$F$16,4,FALSE)*('3. Product Benefit Input'!$F37+'3. Product Benefit Input'!H37)*'3. Product Benefit Input'!$L37)-(VLOOKUP($D37,'0. Control Panel'!$C$7:$F$16,4,FALSE)*('3. Product Benefit Input'!$F37+'3. Product Benefit Input'!H37)*'3. Product Benefit Input'!N37),0)</f>
        <v>0</v>
      </c>
      <c r="L37" s="24">
        <f>IFERROR((VLOOKUP($D37,'0. Control Panel'!$C$7:$F$16,4,FALSE)*('3. Product Benefit Input'!$F37+'3. Product Benefit Input'!I37)*'3. Product Benefit Input'!$L37)-(VLOOKUP($D37,'0. Control Panel'!$C$7:$F$16,4,FALSE)*('3. Product Benefit Input'!$F37+'3. Product Benefit Input'!I37)*'3. Product Benefit Input'!O37),0)</f>
        <v>0</v>
      </c>
      <c r="M37" s="24">
        <f>IFERROR((VLOOKUP($D37,'0. Control Panel'!$C$7:$F$16,4,FALSE)*('3. Product Benefit Input'!$F37+'3. Product Benefit Input'!J37)*'3. Product Benefit Input'!$L37)-(VLOOKUP($D37,'0. Control Panel'!$C$7:$F$16,4,FALSE)*('3. Product Benefit Input'!$F37+'3. Product Benefit Input'!J37)*'3. Product Benefit Input'!P37),0)</f>
        <v>0</v>
      </c>
      <c r="O37" s="24">
        <f>'3. Product Benefit Input'!T37</f>
        <v>0</v>
      </c>
      <c r="P37" s="24">
        <f>'3. Product Benefit Input'!U37</f>
        <v>0</v>
      </c>
      <c r="Q37" s="24">
        <f>'3. Product Benefit Input'!V37</f>
        <v>0</v>
      </c>
      <c r="S37" s="24">
        <f t="shared" si="31"/>
        <v>0</v>
      </c>
      <c r="T37" s="24">
        <f t="shared" si="28"/>
        <v>0</v>
      </c>
      <c r="U37" s="24">
        <f t="shared" si="29"/>
        <v>0</v>
      </c>
    </row>
    <row r="38" spans="1:21" x14ac:dyDescent="0.25">
      <c r="A38" t="str">
        <f t="shared" si="30"/>
        <v>HRP3</v>
      </c>
      <c r="C38" s="6">
        <f>IF(C37="-","-",IF(C37+1&gt;COUNTA('0. Control Panel'!$C$7:$C$16),"-",C37+1))</f>
        <v>6</v>
      </c>
      <c r="D38" s="16" t="str">
        <f>IF(C38="-","-",INDEX('0. Control Panel'!$B$6:$K$16,MATCH('3.1 Product Benefit Output'!$C38,'0. Control Panel'!$B$6:$B$16,0),MATCH(D$6,'0. Control Panel'!$B$6:$K$6,0)))</f>
        <v>HR</v>
      </c>
      <c r="E38" s="6"/>
      <c r="F38" s="2"/>
      <c r="G38" s="24">
        <f>IFERROR(-VLOOKUP($D38,'0. Control Panel'!$C$7:$F$16,4,FALSE)*(('3. Product Benefit Input'!$F38+'3. Product Benefit Input'!H38)*'3. Product Benefit Input'!$L38)+(VLOOKUP($D38,'0. Control Panel'!$C$7:$F$16,4,FALSE)*('3. Product Benefit Input'!$F38*'3. Product Benefit Input'!$L38)),0)</f>
        <v>0</v>
      </c>
      <c r="H38" s="24">
        <f>IFERROR(-VLOOKUP($D38,'0. Control Panel'!$C$7:$F$16,4,FALSE)*(('3. Product Benefit Input'!$F38+'3. Product Benefit Input'!I38)*'3. Product Benefit Input'!$L38)+(VLOOKUP($D38,'0. Control Panel'!$C$7:$F$16,4,FALSE)*('3. Product Benefit Input'!$F38*'3. Product Benefit Input'!$L38)),0)</f>
        <v>0</v>
      </c>
      <c r="I38" s="24">
        <f>IFERROR(-VLOOKUP($D38,'0. Control Panel'!$C$7:$F$16,4,FALSE)*(('3. Product Benefit Input'!$F38+'3. Product Benefit Input'!J38)*'3. Product Benefit Input'!$L38)+(VLOOKUP($D38,'0. Control Panel'!$C$7:$F$16,4,FALSE)*('3. Product Benefit Input'!$F38*'3. Product Benefit Input'!$L38)),0)</f>
        <v>0</v>
      </c>
      <c r="K38" s="24">
        <f>IFERROR((VLOOKUP($D38,'0. Control Panel'!$C$7:$F$16,4,FALSE)*('3. Product Benefit Input'!$F38+'3. Product Benefit Input'!H38)*'3. Product Benefit Input'!$L38)-(VLOOKUP($D38,'0. Control Panel'!$C$7:$F$16,4,FALSE)*('3. Product Benefit Input'!$F38+'3. Product Benefit Input'!H38)*'3. Product Benefit Input'!N38),0)</f>
        <v>0</v>
      </c>
      <c r="L38" s="24">
        <f>IFERROR((VLOOKUP($D38,'0. Control Panel'!$C$7:$F$16,4,FALSE)*('3. Product Benefit Input'!$F38+'3. Product Benefit Input'!I38)*'3. Product Benefit Input'!$L38)-(VLOOKUP($D38,'0. Control Panel'!$C$7:$F$16,4,FALSE)*('3. Product Benefit Input'!$F38+'3. Product Benefit Input'!I38)*'3. Product Benefit Input'!O38),0)</f>
        <v>46305</v>
      </c>
      <c r="M38" s="24">
        <f>IFERROR((VLOOKUP($D38,'0. Control Panel'!$C$7:$F$16,4,FALSE)*('3. Product Benefit Input'!$F38+'3. Product Benefit Input'!J38)*'3. Product Benefit Input'!$L38)-(VLOOKUP($D38,'0. Control Panel'!$C$7:$F$16,4,FALSE)*('3. Product Benefit Input'!$F38+'3. Product Benefit Input'!J38)*'3. Product Benefit Input'!P38),0)</f>
        <v>92610.000000000029</v>
      </c>
      <c r="O38" s="24">
        <f>'3. Product Benefit Input'!T38</f>
        <v>0</v>
      </c>
      <c r="P38" s="24">
        <f>'3. Product Benefit Input'!U38</f>
        <v>0</v>
      </c>
      <c r="Q38" s="24">
        <f>'3. Product Benefit Input'!V38</f>
        <v>0</v>
      </c>
      <c r="S38" s="24">
        <f t="shared" si="31"/>
        <v>0</v>
      </c>
      <c r="T38" s="24">
        <f t="shared" si="28"/>
        <v>46305</v>
      </c>
      <c r="U38" s="24">
        <f t="shared" si="29"/>
        <v>92610.000000000029</v>
      </c>
    </row>
    <row r="39" spans="1:21" x14ac:dyDescent="0.25">
      <c r="A39" t="str">
        <f t="shared" si="30"/>
        <v>FinanceP3</v>
      </c>
      <c r="C39" s="6">
        <f>IF(C38="-","-",IF(C38+1&gt;COUNTA('0. Control Panel'!$C$7:$C$16),"-",C38+1))</f>
        <v>7</v>
      </c>
      <c r="D39" s="16" t="str">
        <f>IF(C39="-","-",INDEX('0. Control Panel'!$B$6:$K$16,MATCH('3.1 Product Benefit Output'!$C39,'0. Control Panel'!$B$6:$B$16,0),MATCH(D$6,'0. Control Panel'!$B$6:$K$6,0)))</f>
        <v>Finance</v>
      </c>
      <c r="E39" s="6"/>
      <c r="F39" s="2"/>
      <c r="G39" s="24">
        <f>IFERROR(-VLOOKUP($D39,'0. Control Panel'!$C$7:$F$16,4,FALSE)*(('3. Product Benefit Input'!$F39+'3. Product Benefit Input'!H39)*'3. Product Benefit Input'!$L39)+(VLOOKUP($D39,'0. Control Panel'!$C$7:$F$16,4,FALSE)*('3. Product Benefit Input'!$F39*'3. Product Benefit Input'!$L39)),0)</f>
        <v>0</v>
      </c>
      <c r="H39" s="24">
        <f>IFERROR(-VLOOKUP($D39,'0. Control Panel'!$C$7:$F$16,4,FALSE)*(('3. Product Benefit Input'!$F39+'3. Product Benefit Input'!I39)*'3. Product Benefit Input'!$L39)+(VLOOKUP($D39,'0. Control Panel'!$C$7:$F$16,4,FALSE)*('3. Product Benefit Input'!$F39*'3. Product Benefit Input'!$L39)),0)</f>
        <v>0</v>
      </c>
      <c r="I39" s="24">
        <f>IFERROR(-VLOOKUP($D39,'0. Control Panel'!$C$7:$F$16,4,FALSE)*(('3. Product Benefit Input'!$F39+'3. Product Benefit Input'!J39)*'3. Product Benefit Input'!$L39)+(VLOOKUP($D39,'0. Control Panel'!$C$7:$F$16,4,FALSE)*('3. Product Benefit Input'!$F39*'3. Product Benefit Input'!$L39)),0)</f>
        <v>0</v>
      </c>
      <c r="K39" s="24">
        <f>IFERROR((VLOOKUP($D39,'0. Control Panel'!$C$7:$F$16,4,FALSE)*('3. Product Benefit Input'!$F39+'3. Product Benefit Input'!H39)*'3. Product Benefit Input'!$L39)-(VLOOKUP($D39,'0. Control Panel'!$C$7:$F$16,4,FALSE)*('3. Product Benefit Input'!$F39+'3. Product Benefit Input'!H39)*'3. Product Benefit Input'!N39),0)</f>
        <v>0</v>
      </c>
      <c r="L39" s="24">
        <f>IFERROR((VLOOKUP($D39,'0. Control Panel'!$C$7:$F$16,4,FALSE)*('3. Product Benefit Input'!$F39+'3. Product Benefit Input'!I39)*'3. Product Benefit Input'!$L39)-(VLOOKUP($D39,'0. Control Panel'!$C$7:$F$16,4,FALSE)*('3. Product Benefit Input'!$F39+'3. Product Benefit Input'!I39)*'3. Product Benefit Input'!O39),0)</f>
        <v>0</v>
      </c>
      <c r="M39" s="24">
        <f>IFERROR((VLOOKUP($D39,'0. Control Panel'!$C$7:$F$16,4,FALSE)*('3. Product Benefit Input'!$F39+'3. Product Benefit Input'!J39)*'3. Product Benefit Input'!$L39)-(VLOOKUP($D39,'0. Control Panel'!$C$7:$F$16,4,FALSE)*('3. Product Benefit Input'!$F39+'3. Product Benefit Input'!J39)*'3. Product Benefit Input'!P39),0)</f>
        <v>0</v>
      </c>
      <c r="O39" s="24">
        <f>'3. Product Benefit Input'!T39</f>
        <v>0</v>
      </c>
      <c r="P39" s="24">
        <f>'3. Product Benefit Input'!U39</f>
        <v>0</v>
      </c>
      <c r="Q39" s="24">
        <f>'3. Product Benefit Input'!V39</f>
        <v>0</v>
      </c>
      <c r="S39" s="24">
        <f t="shared" si="31"/>
        <v>0</v>
      </c>
      <c r="T39" s="24">
        <f t="shared" si="28"/>
        <v>0</v>
      </c>
      <c r="U39" s="24">
        <f t="shared" si="29"/>
        <v>0</v>
      </c>
    </row>
    <row r="40" spans="1:21" x14ac:dyDescent="0.25">
      <c r="A40" t="str">
        <f t="shared" si="30"/>
        <v>Head OfficeP3</v>
      </c>
      <c r="C40" s="6">
        <f>IF(C39="-","-",IF(C39+1&gt;COUNTA('0. Control Panel'!$C$7:$C$16),"-",C39+1))</f>
        <v>8</v>
      </c>
      <c r="D40" s="16" t="str">
        <f>IF(C40="-","-",INDEX('0. Control Panel'!$B$6:$K$16,MATCH('3.1 Product Benefit Output'!$C40,'0. Control Panel'!$B$6:$B$16,0),MATCH(D$6,'0. Control Panel'!$B$6:$K$6,0)))</f>
        <v>Head Office</v>
      </c>
      <c r="E40" s="6"/>
      <c r="F40" s="2"/>
      <c r="G40" s="24">
        <f>IFERROR(-VLOOKUP($D40,'0. Control Panel'!$C$7:$F$16,4,FALSE)*(('3. Product Benefit Input'!$F40+'3. Product Benefit Input'!H40)*'3. Product Benefit Input'!$L40)+(VLOOKUP($D40,'0. Control Panel'!$C$7:$F$16,4,FALSE)*('3. Product Benefit Input'!$F40*'3. Product Benefit Input'!$L40)),0)</f>
        <v>0</v>
      </c>
      <c r="H40" s="24">
        <f>IFERROR(-VLOOKUP($D40,'0. Control Panel'!$C$7:$F$16,4,FALSE)*(('3. Product Benefit Input'!$F40+'3. Product Benefit Input'!I40)*'3. Product Benefit Input'!$L40)+(VLOOKUP($D40,'0. Control Panel'!$C$7:$F$16,4,FALSE)*('3. Product Benefit Input'!$F40*'3. Product Benefit Input'!$L40)),0)</f>
        <v>0</v>
      </c>
      <c r="I40" s="24">
        <f>IFERROR(-VLOOKUP($D40,'0. Control Panel'!$C$7:$F$16,4,FALSE)*(('3. Product Benefit Input'!$F40+'3. Product Benefit Input'!J40)*'3. Product Benefit Input'!$L40)+(VLOOKUP($D40,'0. Control Panel'!$C$7:$F$16,4,FALSE)*('3. Product Benefit Input'!$F40*'3. Product Benefit Input'!$L40)),0)</f>
        <v>0</v>
      </c>
      <c r="K40" s="24">
        <f>IFERROR((VLOOKUP($D40,'0. Control Panel'!$C$7:$F$16,4,FALSE)*('3. Product Benefit Input'!$F40+'3. Product Benefit Input'!H40)*'3. Product Benefit Input'!$L40)-(VLOOKUP($D40,'0. Control Panel'!$C$7:$F$16,4,FALSE)*('3. Product Benefit Input'!$F40+'3. Product Benefit Input'!H40)*'3. Product Benefit Input'!N40),0)</f>
        <v>0</v>
      </c>
      <c r="L40" s="24">
        <f>IFERROR((VLOOKUP($D40,'0. Control Panel'!$C$7:$F$16,4,FALSE)*('3. Product Benefit Input'!$F40+'3. Product Benefit Input'!I40)*'3. Product Benefit Input'!$L40)-(VLOOKUP($D40,'0. Control Panel'!$C$7:$F$16,4,FALSE)*('3. Product Benefit Input'!$F40+'3. Product Benefit Input'!I40)*'3. Product Benefit Input'!O40),0)</f>
        <v>0</v>
      </c>
      <c r="M40" s="24">
        <f>IFERROR((VLOOKUP($D40,'0. Control Panel'!$C$7:$F$16,4,FALSE)*('3. Product Benefit Input'!$F40+'3. Product Benefit Input'!J40)*'3. Product Benefit Input'!$L40)-(VLOOKUP($D40,'0. Control Panel'!$C$7:$F$16,4,FALSE)*('3. Product Benefit Input'!$F40+'3. Product Benefit Input'!J40)*'3. Product Benefit Input'!P40),0)</f>
        <v>0</v>
      </c>
      <c r="O40" s="24">
        <f>'3. Product Benefit Input'!T40</f>
        <v>0</v>
      </c>
      <c r="P40" s="24">
        <f>'3. Product Benefit Input'!U40</f>
        <v>0</v>
      </c>
      <c r="Q40" s="24">
        <f>'3. Product Benefit Input'!V40</f>
        <v>0</v>
      </c>
      <c r="S40" s="24">
        <f t="shared" si="31"/>
        <v>0</v>
      </c>
      <c r="T40" s="24">
        <f t="shared" si="28"/>
        <v>0</v>
      </c>
      <c r="U40" s="24">
        <f t="shared" si="29"/>
        <v>0</v>
      </c>
    </row>
    <row r="41" spans="1:21" x14ac:dyDescent="0.25">
      <c r="A41" t="str">
        <f t="shared" si="30"/>
        <v>-P3</v>
      </c>
      <c r="C41" s="6" t="str">
        <f>IF(C40="-","-",IF(C40+1&gt;COUNTA('0. Control Panel'!$C$7:$C$16),"-",C40+1))</f>
        <v>-</v>
      </c>
      <c r="D41" s="16" t="str">
        <f>IF(C41="-","-",INDEX('0. Control Panel'!$B$6:$K$16,MATCH('3.1 Product Benefit Output'!$C41,'0. Control Panel'!$B$6:$B$16,0),MATCH(D$6,'0. Control Panel'!$B$6:$K$6,0)))</f>
        <v>-</v>
      </c>
      <c r="E41" s="6"/>
      <c r="F41" s="2"/>
      <c r="G41" s="24">
        <f>IFERROR(-VLOOKUP($D41,'0. Control Panel'!$C$7:$F$16,4,FALSE)*(('3. Product Benefit Input'!$F41+'3. Product Benefit Input'!H41)*'3. Product Benefit Input'!$L41)+(VLOOKUP($D41,'0. Control Panel'!$C$7:$F$16,4,FALSE)*('3. Product Benefit Input'!$F41*'3. Product Benefit Input'!$L41)),0)</f>
        <v>0</v>
      </c>
      <c r="H41" s="24">
        <f>IFERROR(-VLOOKUP($D41,'0. Control Panel'!$C$7:$F$16,4,FALSE)*(('3. Product Benefit Input'!$F41+'3. Product Benefit Input'!I41)*'3. Product Benefit Input'!$L41)+(VLOOKUP($D41,'0. Control Panel'!$C$7:$F$16,4,FALSE)*('3. Product Benefit Input'!$F41*'3. Product Benefit Input'!$L41)),0)</f>
        <v>0</v>
      </c>
      <c r="I41" s="24">
        <f>IFERROR(-VLOOKUP($D41,'0. Control Panel'!$C$7:$F$16,4,FALSE)*(('3. Product Benefit Input'!$F41+'3. Product Benefit Input'!J41)*'3. Product Benefit Input'!$L41)+(VLOOKUP($D41,'0. Control Panel'!$C$7:$F$16,4,FALSE)*('3. Product Benefit Input'!$F41*'3. Product Benefit Input'!$L41)),0)</f>
        <v>0</v>
      </c>
      <c r="K41" s="24">
        <f>IFERROR((VLOOKUP($D41,'0. Control Panel'!$C$7:$F$16,4,FALSE)*('3. Product Benefit Input'!$F41+'3. Product Benefit Input'!H41)*'3. Product Benefit Input'!$L41)-(VLOOKUP($D41,'0. Control Panel'!$C$7:$F$16,4,FALSE)*('3. Product Benefit Input'!$F41+'3. Product Benefit Input'!H41)*'3. Product Benefit Input'!N41),0)</f>
        <v>0</v>
      </c>
      <c r="L41" s="24">
        <f>IFERROR((VLOOKUP($D41,'0. Control Panel'!$C$7:$F$16,4,FALSE)*('3. Product Benefit Input'!$F41+'3. Product Benefit Input'!I41)*'3. Product Benefit Input'!$L41)-(VLOOKUP($D41,'0. Control Panel'!$C$7:$F$16,4,FALSE)*('3. Product Benefit Input'!$F41+'3. Product Benefit Input'!I41)*'3. Product Benefit Input'!O41),0)</f>
        <v>0</v>
      </c>
      <c r="M41" s="24">
        <f>IFERROR((VLOOKUP($D41,'0. Control Panel'!$C$7:$F$16,4,FALSE)*('3. Product Benefit Input'!$F41+'3. Product Benefit Input'!J41)*'3. Product Benefit Input'!$L41)-(VLOOKUP($D41,'0. Control Panel'!$C$7:$F$16,4,FALSE)*('3. Product Benefit Input'!$F41+'3. Product Benefit Input'!J41)*'3. Product Benefit Input'!P41),0)</f>
        <v>0</v>
      </c>
      <c r="O41" s="24">
        <f>'3. Product Benefit Input'!T41</f>
        <v>0</v>
      </c>
      <c r="P41" s="24">
        <f>'3. Product Benefit Input'!U41</f>
        <v>0</v>
      </c>
      <c r="Q41" s="24">
        <f>'3. Product Benefit Input'!V41</f>
        <v>0</v>
      </c>
      <c r="S41" s="24">
        <f t="shared" si="31"/>
        <v>0</v>
      </c>
      <c r="T41" s="24">
        <f t="shared" si="28"/>
        <v>0</v>
      </c>
      <c r="U41" s="24">
        <f t="shared" si="29"/>
        <v>0</v>
      </c>
    </row>
    <row r="42" spans="1:21" x14ac:dyDescent="0.25">
      <c r="A42" t="str">
        <f t="shared" si="30"/>
        <v>-P3</v>
      </c>
      <c r="C42" s="7" t="str">
        <f>IF(C41="-","-",IF(C41+1&gt;COUNTA('0. Control Panel'!$C$7:$C$16),"-",C41+1))</f>
        <v>-</v>
      </c>
      <c r="D42" s="17" t="str">
        <f>IF(C42="-","-",INDEX('0. Control Panel'!$B$6:$K$16,MATCH('3.1 Product Benefit Output'!$C42,'0. Control Panel'!$B$6:$B$16,0),MATCH(D$6,'0. Control Panel'!$B$6:$K$6,0)))</f>
        <v>-</v>
      </c>
      <c r="E42" s="7"/>
      <c r="F42" s="2"/>
      <c r="G42" s="24">
        <f>IFERROR(-VLOOKUP($D42,'0. Control Panel'!$C$7:$F$16,4,FALSE)*(('3. Product Benefit Input'!$F42+'3. Product Benefit Input'!H42)*'3. Product Benefit Input'!$L42)+(VLOOKUP($D42,'0. Control Panel'!$C$7:$F$16,4,FALSE)*('3. Product Benefit Input'!$F42*'3. Product Benefit Input'!$L42)),0)</f>
        <v>0</v>
      </c>
      <c r="H42" s="24">
        <f>IFERROR(-VLOOKUP($D42,'0. Control Panel'!$C$7:$F$16,4,FALSE)*(('3. Product Benefit Input'!$F42+'3. Product Benefit Input'!I42)*'3. Product Benefit Input'!$L42)+(VLOOKUP($D42,'0. Control Panel'!$C$7:$F$16,4,FALSE)*('3. Product Benefit Input'!$F42*'3. Product Benefit Input'!$L42)),0)</f>
        <v>0</v>
      </c>
      <c r="I42" s="24">
        <f>IFERROR(-VLOOKUP($D42,'0. Control Panel'!$C$7:$F$16,4,FALSE)*(('3. Product Benefit Input'!$F42+'3. Product Benefit Input'!J42)*'3. Product Benefit Input'!$L42)+(VLOOKUP($D42,'0. Control Panel'!$C$7:$F$16,4,FALSE)*('3. Product Benefit Input'!$F42*'3. Product Benefit Input'!$L42)),0)</f>
        <v>0</v>
      </c>
      <c r="K42" s="24">
        <f>IFERROR((VLOOKUP($D42,'0. Control Panel'!$C$7:$F$16,4,FALSE)*('3. Product Benefit Input'!$F42+'3. Product Benefit Input'!H42)*'3. Product Benefit Input'!$L42)-(VLOOKUP($D42,'0. Control Panel'!$C$7:$F$16,4,FALSE)*('3. Product Benefit Input'!$F42+'3. Product Benefit Input'!H42)*'3. Product Benefit Input'!N42),0)</f>
        <v>0</v>
      </c>
      <c r="L42" s="24">
        <f>IFERROR((VLOOKUP($D42,'0. Control Panel'!$C$7:$F$16,4,FALSE)*('3. Product Benefit Input'!$F42+'3. Product Benefit Input'!I42)*'3. Product Benefit Input'!$L42)-(VLOOKUP($D42,'0. Control Panel'!$C$7:$F$16,4,FALSE)*('3. Product Benefit Input'!$F42+'3. Product Benefit Input'!I42)*'3. Product Benefit Input'!O42),0)</f>
        <v>0</v>
      </c>
      <c r="M42" s="24">
        <f>IFERROR((VLOOKUP($D42,'0. Control Panel'!$C$7:$F$16,4,FALSE)*('3. Product Benefit Input'!$F42+'3. Product Benefit Input'!J42)*'3. Product Benefit Input'!$L42)-(VLOOKUP($D42,'0. Control Panel'!$C$7:$F$16,4,FALSE)*('3. Product Benefit Input'!$F42+'3. Product Benefit Input'!J42)*'3. Product Benefit Input'!P42),0)</f>
        <v>0</v>
      </c>
      <c r="O42" s="24">
        <f>'3. Product Benefit Input'!T42</f>
        <v>0</v>
      </c>
      <c r="P42" s="24">
        <f>'3. Product Benefit Input'!U42</f>
        <v>0</v>
      </c>
      <c r="Q42" s="24">
        <f>'3. Product Benefit Input'!V42</f>
        <v>0</v>
      </c>
      <c r="S42" s="24">
        <f t="shared" si="31"/>
        <v>0</v>
      </c>
      <c r="T42" s="24">
        <f t="shared" si="28"/>
        <v>0</v>
      </c>
      <c r="U42" s="24">
        <f t="shared" si="29"/>
        <v>0</v>
      </c>
    </row>
    <row r="43" spans="1:21" ht="16.5" thickBot="1" x14ac:dyDescent="0.3">
      <c r="A43" s="22" t="str">
        <f>D43&amp;$C$32</f>
        <v>All Departments/FunctionsP3</v>
      </c>
      <c r="B43" s="22"/>
      <c r="C43" s="23"/>
      <c r="D43" s="27" t="str">
        <f>D30</f>
        <v>All Departments/Functions</v>
      </c>
      <c r="E43" s="23"/>
      <c r="F43" s="23"/>
      <c r="G43" s="28">
        <f>SUM(G33:G42)</f>
        <v>0</v>
      </c>
      <c r="H43" s="28">
        <f t="shared" ref="H43" si="32">SUM(H33:H42)</f>
        <v>0</v>
      </c>
      <c r="I43" s="28">
        <f t="shared" ref="I43" si="33">SUM(I33:I42)</f>
        <v>0</v>
      </c>
      <c r="J43" s="23"/>
      <c r="K43" s="28">
        <f>SUM(K33:K42)</f>
        <v>0</v>
      </c>
      <c r="L43" s="28">
        <f t="shared" ref="L43" si="34">SUM(L33:L42)</f>
        <v>46305</v>
      </c>
      <c r="M43" s="28">
        <f t="shared" ref="M43" si="35">SUM(M33:M42)</f>
        <v>92610.000000000029</v>
      </c>
      <c r="N43" s="29"/>
      <c r="O43" s="28">
        <f t="shared" ref="O43" si="36">SUM(O33:O42)</f>
        <v>0</v>
      </c>
      <c r="P43" s="28">
        <f t="shared" ref="P43" si="37">SUM(P33:P42)</f>
        <v>0</v>
      </c>
      <c r="Q43" s="28">
        <f t="shared" ref="Q43" si="38">SUM(Q33:Q42)</f>
        <v>0</v>
      </c>
      <c r="R43" s="29"/>
      <c r="S43" s="28">
        <f t="shared" ref="S43" si="39">SUM(S33:S42)</f>
        <v>0</v>
      </c>
      <c r="T43" s="28">
        <f t="shared" ref="T43" si="40">SUM(T33:T42)</f>
        <v>46305</v>
      </c>
      <c r="U43" s="28">
        <f t="shared" ref="U43" si="41">SUM(U33:U42)</f>
        <v>92610.000000000029</v>
      </c>
    </row>
    <row r="44" spans="1:21" ht="16.5" thickTop="1" x14ac:dyDescent="0.25"/>
    <row r="45" spans="1:21" ht="15.95" customHeight="1" x14ac:dyDescent="0.25">
      <c r="C45" s="12" t="s">
        <v>25</v>
      </c>
      <c r="D45" s="30" t="str">
        <f>IF(INDEX('0. Control Panel'!$B$31:$C$41,MATCH('3.1 Product Benefit Output'!$C45,'0. Control Panel'!$B$31:$B$41,0),2)="","n/a",INDEX('0. Control Panel'!$B$31:$C$41,MATCH('3.1 Product Benefit Output'!$C45,'0. Control Panel'!$B$31:$B$41,0),2))</f>
        <v>Reduced Marketing Costs</v>
      </c>
      <c r="G45"/>
      <c r="H45"/>
      <c r="I45"/>
      <c r="J45"/>
      <c r="K45"/>
      <c r="L45"/>
      <c r="M45"/>
      <c r="N45"/>
      <c r="O45"/>
      <c r="P45"/>
      <c r="Q45"/>
      <c r="R45"/>
      <c r="S45"/>
      <c r="T45"/>
      <c r="U45"/>
    </row>
    <row r="46" spans="1:21" x14ac:dyDescent="0.25">
      <c r="A46" t="str">
        <f>D46&amp;$C$45</f>
        <v>ITP4</v>
      </c>
      <c r="C46" s="5">
        <v>1</v>
      </c>
      <c r="D46" s="15" t="str">
        <f>IF(C46="-","-",INDEX('0. Control Panel'!$B$6:$K$16,MATCH('3.1 Product Benefit Output'!$C46,'0. Control Panel'!$B$6:$B$16,0),MATCH(D$6,'0. Control Panel'!$B$6:$K$6,0)))</f>
        <v>IT</v>
      </c>
      <c r="E46" s="5"/>
      <c r="F46" s="2"/>
      <c r="G46" s="24">
        <f>IFERROR(-VLOOKUP($D46,'0. Control Panel'!$C$7:$F$16,4,FALSE)*(('3. Product Benefit Input'!$F46+'3. Product Benefit Input'!H46)*'3. Product Benefit Input'!$L46)+(VLOOKUP($D46,'0. Control Panel'!$C$7:$F$16,4,FALSE)*('3. Product Benefit Input'!$F46*'3. Product Benefit Input'!$L46)),0)</f>
        <v>0</v>
      </c>
      <c r="H46" s="24">
        <f>IFERROR(-VLOOKUP($D46,'0. Control Panel'!$C$7:$F$16,4,FALSE)*(('3. Product Benefit Input'!$F46+'3. Product Benefit Input'!I46)*'3. Product Benefit Input'!$L46)+(VLOOKUP($D46,'0. Control Panel'!$C$7:$F$16,4,FALSE)*('3. Product Benefit Input'!$F46*'3. Product Benefit Input'!$L46)),0)</f>
        <v>0</v>
      </c>
      <c r="I46" s="24">
        <f>IFERROR(-VLOOKUP($D46,'0. Control Panel'!$C$7:$F$16,4,FALSE)*(('3. Product Benefit Input'!$F46+'3. Product Benefit Input'!J46)*'3. Product Benefit Input'!$L46)+(VLOOKUP($D46,'0. Control Panel'!$C$7:$F$16,4,FALSE)*('3. Product Benefit Input'!$F46*'3. Product Benefit Input'!$L46)),0)</f>
        <v>0</v>
      </c>
      <c r="K46" s="24">
        <f>IFERROR((VLOOKUP($D46,'0. Control Panel'!$C$7:$F$16,4,FALSE)*('3. Product Benefit Input'!$F46+'3. Product Benefit Input'!H46)*'3. Product Benefit Input'!$L46)-(VLOOKUP($D46,'0. Control Panel'!$C$7:$F$16,4,FALSE)*('3. Product Benefit Input'!$F46+'3. Product Benefit Input'!H46)*'3. Product Benefit Input'!N46),0)</f>
        <v>0</v>
      </c>
      <c r="L46" s="24">
        <f>IFERROR((VLOOKUP($D46,'0. Control Panel'!$C$7:$F$16,4,FALSE)*('3. Product Benefit Input'!$F46+'3. Product Benefit Input'!I46)*'3. Product Benefit Input'!$L46)-(VLOOKUP($D46,'0. Control Panel'!$C$7:$F$16,4,FALSE)*('3. Product Benefit Input'!$F46+'3. Product Benefit Input'!I46)*'3. Product Benefit Input'!O46),0)</f>
        <v>0</v>
      </c>
      <c r="M46" s="24">
        <f>IFERROR((VLOOKUP($D46,'0. Control Panel'!$C$7:$F$16,4,FALSE)*('3. Product Benefit Input'!$F46+'3. Product Benefit Input'!J46)*'3. Product Benefit Input'!$L46)-(VLOOKUP($D46,'0. Control Panel'!$C$7:$F$16,4,FALSE)*('3. Product Benefit Input'!$F46+'3. Product Benefit Input'!J46)*'3. Product Benefit Input'!P46),0)</f>
        <v>0</v>
      </c>
      <c r="O46" s="24">
        <f>'3. Product Benefit Input'!T46</f>
        <v>0</v>
      </c>
      <c r="P46" s="24">
        <f>'3. Product Benefit Input'!U46</f>
        <v>0</v>
      </c>
      <c r="Q46" s="24">
        <f>'3. Product Benefit Input'!V46</f>
        <v>0</v>
      </c>
      <c r="S46" s="24">
        <f>SUM(G46,K46,O46)</f>
        <v>0</v>
      </c>
      <c r="T46" s="24">
        <f t="shared" ref="T46:T55" si="42">SUM(H46,L46,P46)</f>
        <v>0</v>
      </c>
      <c r="U46" s="24">
        <f t="shared" ref="U46:U55" si="43">SUM(I46,M46,Q46)</f>
        <v>0</v>
      </c>
    </row>
    <row r="47" spans="1:21" x14ac:dyDescent="0.25">
      <c r="A47" t="str">
        <f t="shared" ref="A47:A55" si="44">D47&amp;$C$45</f>
        <v>SalesP4</v>
      </c>
      <c r="C47" s="6">
        <f>IF(C46="-","-",IF(C46+1&gt;COUNTA('0. Control Panel'!$C$7:$C$16),"-",C46+1))</f>
        <v>2</v>
      </c>
      <c r="D47" s="16" t="str">
        <f>IF(C47="-","-",INDEX('0. Control Panel'!$B$6:$K$16,MATCH('3.1 Product Benefit Output'!$C47,'0. Control Panel'!$B$6:$B$16,0),MATCH(D$6,'0. Control Panel'!$B$6:$K$6,0)))</f>
        <v>Sales</v>
      </c>
      <c r="E47" s="6"/>
      <c r="F47" s="2"/>
      <c r="G47" s="24">
        <f>IFERROR(-VLOOKUP($D47,'0. Control Panel'!$C$7:$F$16,4,FALSE)*(('3. Product Benefit Input'!$F47+'3. Product Benefit Input'!H47)*'3. Product Benefit Input'!$L47)+(VLOOKUP($D47,'0. Control Panel'!$C$7:$F$16,4,FALSE)*('3. Product Benefit Input'!$F47*'3. Product Benefit Input'!$L47)),0)</f>
        <v>40000</v>
      </c>
      <c r="H47" s="24">
        <f>IFERROR(-VLOOKUP($D47,'0. Control Panel'!$C$7:$F$16,4,FALSE)*(('3. Product Benefit Input'!$F47+'3. Product Benefit Input'!I47)*'3. Product Benefit Input'!$L47)+(VLOOKUP($D47,'0. Control Panel'!$C$7:$F$16,4,FALSE)*('3. Product Benefit Input'!$F47*'3. Product Benefit Input'!$L47)),0)</f>
        <v>80000</v>
      </c>
      <c r="I47" s="24">
        <f>IFERROR(-VLOOKUP($D47,'0. Control Panel'!$C$7:$F$16,4,FALSE)*(('3. Product Benefit Input'!$F47+'3. Product Benefit Input'!J47)*'3. Product Benefit Input'!$L47)+(VLOOKUP($D47,'0. Control Panel'!$C$7:$F$16,4,FALSE)*('3. Product Benefit Input'!$F47*'3. Product Benefit Input'!$L47)),0)</f>
        <v>200000</v>
      </c>
      <c r="K47" s="24">
        <f>IFERROR((VLOOKUP($D47,'0. Control Panel'!$C$7:$F$16,4,FALSE)*('3. Product Benefit Input'!$F47+'3. Product Benefit Input'!H47)*'3. Product Benefit Input'!$L47)-(VLOOKUP($D47,'0. Control Panel'!$C$7:$F$16,4,FALSE)*('3. Product Benefit Input'!$F47+'3. Product Benefit Input'!H47)*'3. Product Benefit Input'!N47),0)</f>
        <v>0</v>
      </c>
      <c r="L47" s="24">
        <f>IFERROR((VLOOKUP($D47,'0. Control Panel'!$C$7:$F$16,4,FALSE)*('3. Product Benefit Input'!$F47+'3. Product Benefit Input'!I47)*'3. Product Benefit Input'!$L47)-(VLOOKUP($D47,'0. Control Panel'!$C$7:$F$16,4,FALSE)*('3. Product Benefit Input'!$F47+'3. Product Benefit Input'!I47)*'3. Product Benefit Input'!O47),0)</f>
        <v>637600</v>
      </c>
      <c r="M47" s="24">
        <f>IFERROR((VLOOKUP($D47,'0. Control Panel'!$C$7:$F$16,4,FALSE)*('3. Product Benefit Input'!$F47+'3. Product Benefit Input'!J47)*'3. Product Benefit Input'!$L47)-(VLOOKUP($D47,'0. Control Panel'!$C$7:$F$16,4,FALSE)*('3. Product Benefit Input'!$F47+'3. Product Benefit Input'!J47)*'3. Product Benefit Input'!P47),0)</f>
        <v>884400</v>
      </c>
      <c r="O47" s="24">
        <f>'3. Product Benefit Input'!T47</f>
        <v>0</v>
      </c>
      <c r="P47" s="24">
        <f>'3. Product Benefit Input'!U47</f>
        <v>0</v>
      </c>
      <c r="Q47" s="24">
        <f>'3. Product Benefit Input'!V47</f>
        <v>0</v>
      </c>
      <c r="S47" s="24">
        <f t="shared" ref="S47:S55" si="45">SUM(G47,K47,O47)</f>
        <v>40000</v>
      </c>
      <c r="T47" s="24">
        <f t="shared" si="42"/>
        <v>717600</v>
      </c>
      <c r="U47" s="24">
        <f t="shared" si="43"/>
        <v>1084400</v>
      </c>
    </row>
    <row r="48" spans="1:21" x14ac:dyDescent="0.25">
      <c r="A48" t="str">
        <f t="shared" si="44"/>
        <v>Product AP4</v>
      </c>
      <c r="C48" s="6">
        <f>IF(C47="-","-",IF(C47+1&gt;COUNTA('0. Control Panel'!$C$7:$C$16),"-",C47+1))</f>
        <v>3</v>
      </c>
      <c r="D48" s="16" t="str">
        <f>IF(C48="-","-",INDEX('0. Control Panel'!$B$6:$K$16,MATCH('3.1 Product Benefit Output'!$C48,'0. Control Panel'!$B$6:$B$16,0),MATCH(D$6,'0. Control Panel'!$B$6:$K$6,0)))</f>
        <v>Product A</v>
      </c>
      <c r="E48" s="6"/>
      <c r="F48" s="2"/>
      <c r="G48" s="24">
        <f>IFERROR(-VLOOKUP($D48,'0. Control Panel'!$C$7:$F$16,4,FALSE)*(('3. Product Benefit Input'!$F48+'3. Product Benefit Input'!H48)*'3. Product Benefit Input'!$L48)+(VLOOKUP($D48,'0. Control Panel'!$C$7:$F$16,4,FALSE)*('3. Product Benefit Input'!$F48*'3. Product Benefit Input'!$L48)),0)</f>
        <v>0</v>
      </c>
      <c r="H48" s="24">
        <f>IFERROR(-VLOOKUP($D48,'0. Control Panel'!$C$7:$F$16,4,FALSE)*(('3. Product Benefit Input'!$F48+'3. Product Benefit Input'!I48)*'3. Product Benefit Input'!$L48)+(VLOOKUP($D48,'0. Control Panel'!$C$7:$F$16,4,FALSE)*('3. Product Benefit Input'!$F48*'3. Product Benefit Input'!$L48)),0)</f>
        <v>0</v>
      </c>
      <c r="I48" s="24">
        <f>IFERROR(-VLOOKUP($D48,'0. Control Panel'!$C$7:$F$16,4,FALSE)*(('3. Product Benefit Input'!$F48+'3. Product Benefit Input'!J48)*'3. Product Benefit Input'!$L48)+(VLOOKUP($D48,'0. Control Panel'!$C$7:$F$16,4,FALSE)*('3. Product Benefit Input'!$F48*'3. Product Benefit Input'!$L48)),0)</f>
        <v>0</v>
      </c>
      <c r="K48" s="24">
        <f>IFERROR((VLOOKUP($D48,'0. Control Panel'!$C$7:$F$16,4,FALSE)*('3. Product Benefit Input'!$F48+'3. Product Benefit Input'!H48)*'3. Product Benefit Input'!$L48)-(VLOOKUP($D48,'0. Control Panel'!$C$7:$F$16,4,FALSE)*('3. Product Benefit Input'!$F48+'3. Product Benefit Input'!H48)*'3. Product Benefit Input'!N48),0)</f>
        <v>0</v>
      </c>
      <c r="L48" s="24">
        <f>IFERROR((VLOOKUP($D48,'0. Control Panel'!$C$7:$F$16,4,FALSE)*('3. Product Benefit Input'!$F48+'3. Product Benefit Input'!I48)*'3. Product Benefit Input'!$L48)-(VLOOKUP($D48,'0. Control Panel'!$C$7:$F$16,4,FALSE)*('3. Product Benefit Input'!$F48+'3. Product Benefit Input'!I48)*'3. Product Benefit Input'!O48),0)</f>
        <v>0</v>
      </c>
      <c r="M48" s="24">
        <f>IFERROR((VLOOKUP($D48,'0. Control Panel'!$C$7:$F$16,4,FALSE)*('3. Product Benefit Input'!$F48+'3. Product Benefit Input'!J48)*'3. Product Benefit Input'!$L48)-(VLOOKUP($D48,'0. Control Panel'!$C$7:$F$16,4,FALSE)*('3. Product Benefit Input'!$F48+'3. Product Benefit Input'!J48)*'3. Product Benefit Input'!P48),0)</f>
        <v>0</v>
      </c>
      <c r="O48" s="24">
        <f>'3. Product Benefit Input'!T48</f>
        <v>0</v>
      </c>
      <c r="P48" s="24">
        <f>'3. Product Benefit Input'!U48</f>
        <v>0</v>
      </c>
      <c r="Q48" s="24">
        <f>'3. Product Benefit Input'!V48</f>
        <v>0</v>
      </c>
      <c r="S48" s="24">
        <f t="shared" si="45"/>
        <v>0</v>
      </c>
      <c r="T48" s="24">
        <f t="shared" si="42"/>
        <v>0</v>
      </c>
      <c r="U48" s="24">
        <f t="shared" si="43"/>
        <v>0</v>
      </c>
    </row>
    <row r="49" spans="1:21" x14ac:dyDescent="0.25">
      <c r="A49" t="str">
        <f t="shared" si="44"/>
        <v>Product BP4</v>
      </c>
      <c r="C49" s="6">
        <f>IF(C48="-","-",IF(C48+1&gt;COUNTA('0. Control Panel'!$C$7:$C$16),"-",C48+1))</f>
        <v>4</v>
      </c>
      <c r="D49" s="16" t="str">
        <f>IF(C49="-","-",INDEX('0. Control Panel'!$B$6:$K$16,MATCH('3.1 Product Benefit Output'!$C49,'0. Control Panel'!$B$6:$B$16,0),MATCH(D$6,'0. Control Panel'!$B$6:$K$6,0)))</f>
        <v>Product B</v>
      </c>
      <c r="E49" s="6"/>
      <c r="F49" s="2"/>
      <c r="G49" s="24">
        <f>IFERROR(-VLOOKUP($D49,'0. Control Panel'!$C$7:$F$16,4,FALSE)*(('3. Product Benefit Input'!$F49+'3. Product Benefit Input'!H49)*'3. Product Benefit Input'!$L49)+(VLOOKUP($D49,'0. Control Panel'!$C$7:$F$16,4,FALSE)*('3. Product Benefit Input'!$F49*'3. Product Benefit Input'!$L49)),0)</f>
        <v>0</v>
      </c>
      <c r="H49" s="24">
        <f>IFERROR(-VLOOKUP($D49,'0. Control Panel'!$C$7:$F$16,4,FALSE)*(('3. Product Benefit Input'!$F49+'3. Product Benefit Input'!I49)*'3. Product Benefit Input'!$L49)+(VLOOKUP($D49,'0. Control Panel'!$C$7:$F$16,4,FALSE)*('3. Product Benefit Input'!$F49*'3. Product Benefit Input'!$L49)),0)</f>
        <v>0</v>
      </c>
      <c r="I49" s="24">
        <f>IFERROR(-VLOOKUP($D49,'0. Control Panel'!$C$7:$F$16,4,FALSE)*(('3. Product Benefit Input'!$F49+'3. Product Benefit Input'!J49)*'3. Product Benefit Input'!$L49)+(VLOOKUP($D49,'0. Control Panel'!$C$7:$F$16,4,FALSE)*('3. Product Benefit Input'!$F49*'3. Product Benefit Input'!$L49)),0)</f>
        <v>0</v>
      </c>
      <c r="K49" s="24">
        <f>IFERROR((VLOOKUP($D49,'0. Control Panel'!$C$7:$F$16,4,FALSE)*('3. Product Benefit Input'!$F49+'3. Product Benefit Input'!H49)*'3. Product Benefit Input'!$L49)-(VLOOKUP($D49,'0. Control Panel'!$C$7:$F$16,4,FALSE)*('3. Product Benefit Input'!$F49+'3. Product Benefit Input'!H49)*'3. Product Benefit Input'!N49),0)</f>
        <v>0</v>
      </c>
      <c r="L49" s="24">
        <f>IFERROR((VLOOKUP($D49,'0. Control Panel'!$C$7:$F$16,4,FALSE)*('3. Product Benefit Input'!$F49+'3. Product Benefit Input'!I49)*'3. Product Benefit Input'!$L49)-(VLOOKUP($D49,'0. Control Panel'!$C$7:$F$16,4,FALSE)*('3. Product Benefit Input'!$F49+'3. Product Benefit Input'!I49)*'3. Product Benefit Input'!O49),0)</f>
        <v>0</v>
      </c>
      <c r="M49" s="24">
        <f>IFERROR((VLOOKUP($D49,'0. Control Panel'!$C$7:$F$16,4,FALSE)*('3. Product Benefit Input'!$F49+'3. Product Benefit Input'!J49)*'3. Product Benefit Input'!$L49)-(VLOOKUP($D49,'0. Control Panel'!$C$7:$F$16,4,FALSE)*('3. Product Benefit Input'!$F49+'3. Product Benefit Input'!J49)*'3. Product Benefit Input'!P49),0)</f>
        <v>0</v>
      </c>
      <c r="O49" s="24">
        <f>'3. Product Benefit Input'!T49</f>
        <v>0</v>
      </c>
      <c r="P49" s="24">
        <f>'3. Product Benefit Input'!U49</f>
        <v>0</v>
      </c>
      <c r="Q49" s="24">
        <f>'3. Product Benefit Input'!V49</f>
        <v>0</v>
      </c>
      <c r="S49" s="24">
        <f t="shared" si="45"/>
        <v>0</v>
      </c>
      <c r="T49" s="24">
        <f t="shared" si="42"/>
        <v>0</v>
      </c>
      <c r="U49" s="24">
        <f t="shared" si="43"/>
        <v>0</v>
      </c>
    </row>
    <row r="50" spans="1:21" x14ac:dyDescent="0.25">
      <c r="A50" t="str">
        <f t="shared" si="44"/>
        <v>R&amp;DP4</v>
      </c>
      <c r="C50" s="6">
        <f>IF(C49="-","-",IF(C49+1&gt;COUNTA('0. Control Panel'!$C$7:$C$16),"-",C49+1))</f>
        <v>5</v>
      </c>
      <c r="D50" s="16" t="str">
        <f>IF(C50="-","-",INDEX('0. Control Panel'!$B$6:$K$16,MATCH('3.1 Product Benefit Output'!$C50,'0. Control Panel'!$B$6:$B$16,0),MATCH(D$6,'0. Control Panel'!$B$6:$K$6,0)))</f>
        <v>R&amp;D</v>
      </c>
      <c r="E50" s="6"/>
      <c r="F50" s="2"/>
      <c r="G50" s="24">
        <f>IFERROR(-VLOOKUP($D50,'0. Control Panel'!$C$7:$F$16,4,FALSE)*(('3. Product Benefit Input'!$F50+'3. Product Benefit Input'!H50)*'3. Product Benefit Input'!$L50)+(VLOOKUP($D50,'0. Control Panel'!$C$7:$F$16,4,FALSE)*('3. Product Benefit Input'!$F50*'3. Product Benefit Input'!$L50)),0)</f>
        <v>0</v>
      </c>
      <c r="H50" s="24">
        <f>IFERROR(-VLOOKUP($D50,'0. Control Panel'!$C$7:$F$16,4,FALSE)*(('3. Product Benefit Input'!$F50+'3. Product Benefit Input'!I50)*'3. Product Benefit Input'!$L50)+(VLOOKUP($D50,'0. Control Panel'!$C$7:$F$16,4,FALSE)*('3. Product Benefit Input'!$F50*'3. Product Benefit Input'!$L50)),0)</f>
        <v>0</v>
      </c>
      <c r="I50" s="24">
        <f>IFERROR(-VLOOKUP($D50,'0. Control Panel'!$C$7:$F$16,4,FALSE)*(('3. Product Benefit Input'!$F50+'3. Product Benefit Input'!J50)*'3. Product Benefit Input'!$L50)+(VLOOKUP($D50,'0. Control Panel'!$C$7:$F$16,4,FALSE)*('3. Product Benefit Input'!$F50*'3. Product Benefit Input'!$L50)),0)</f>
        <v>0</v>
      </c>
      <c r="K50" s="24">
        <f>IFERROR((VLOOKUP($D50,'0. Control Panel'!$C$7:$F$16,4,FALSE)*('3. Product Benefit Input'!$F50+'3. Product Benefit Input'!H50)*'3. Product Benefit Input'!$L50)-(VLOOKUP($D50,'0. Control Panel'!$C$7:$F$16,4,FALSE)*('3. Product Benefit Input'!$F50+'3. Product Benefit Input'!H50)*'3. Product Benefit Input'!N50),0)</f>
        <v>0</v>
      </c>
      <c r="L50" s="24">
        <f>IFERROR((VLOOKUP($D50,'0. Control Panel'!$C$7:$F$16,4,FALSE)*('3. Product Benefit Input'!$F50+'3. Product Benefit Input'!I50)*'3. Product Benefit Input'!$L50)-(VLOOKUP($D50,'0. Control Panel'!$C$7:$F$16,4,FALSE)*('3. Product Benefit Input'!$F50+'3. Product Benefit Input'!I50)*'3. Product Benefit Input'!O50),0)</f>
        <v>0</v>
      </c>
      <c r="M50" s="24">
        <f>IFERROR((VLOOKUP($D50,'0. Control Panel'!$C$7:$F$16,4,FALSE)*('3. Product Benefit Input'!$F50+'3. Product Benefit Input'!J50)*'3. Product Benefit Input'!$L50)-(VLOOKUP($D50,'0. Control Panel'!$C$7:$F$16,4,FALSE)*('3. Product Benefit Input'!$F50+'3. Product Benefit Input'!J50)*'3. Product Benefit Input'!P50),0)</f>
        <v>0</v>
      </c>
      <c r="O50" s="24">
        <f>'3. Product Benefit Input'!T50</f>
        <v>0</v>
      </c>
      <c r="P50" s="24">
        <f>'3. Product Benefit Input'!U50</f>
        <v>0</v>
      </c>
      <c r="Q50" s="24">
        <f>'3. Product Benefit Input'!V50</f>
        <v>0</v>
      </c>
      <c r="S50" s="24">
        <f t="shared" si="45"/>
        <v>0</v>
      </c>
      <c r="T50" s="24">
        <f t="shared" si="42"/>
        <v>0</v>
      </c>
      <c r="U50" s="24">
        <f t="shared" si="43"/>
        <v>0</v>
      </c>
    </row>
    <row r="51" spans="1:21" x14ac:dyDescent="0.25">
      <c r="A51" t="str">
        <f t="shared" si="44"/>
        <v>HRP4</v>
      </c>
      <c r="C51" s="6">
        <f>IF(C50="-","-",IF(C50+1&gt;COUNTA('0. Control Panel'!$C$7:$C$16),"-",C50+1))</f>
        <v>6</v>
      </c>
      <c r="D51" s="16" t="str">
        <f>IF(C51="-","-",INDEX('0. Control Panel'!$B$6:$K$16,MATCH('3.1 Product Benefit Output'!$C51,'0. Control Panel'!$B$6:$B$16,0),MATCH(D$6,'0. Control Panel'!$B$6:$K$6,0)))</f>
        <v>HR</v>
      </c>
      <c r="E51" s="6"/>
      <c r="F51" s="2"/>
      <c r="G51" s="24">
        <f>IFERROR(-VLOOKUP($D51,'0. Control Panel'!$C$7:$F$16,4,FALSE)*(('3. Product Benefit Input'!$F51+'3. Product Benefit Input'!H51)*'3. Product Benefit Input'!$L51)+(VLOOKUP($D51,'0. Control Panel'!$C$7:$F$16,4,FALSE)*('3. Product Benefit Input'!$F51*'3. Product Benefit Input'!$L51)),0)</f>
        <v>0</v>
      </c>
      <c r="H51" s="24">
        <f>IFERROR(-VLOOKUP($D51,'0. Control Panel'!$C$7:$F$16,4,FALSE)*(('3. Product Benefit Input'!$F51+'3. Product Benefit Input'!I51)*'3. Product Benefit Input'!$L51)+(VLOOKUP($D51,'0. Control Panel'!$C$7:$F$16,4,FALSE)*('3. Product Benefit Input'!$F51*'3. Product Benefit Input'!$L51)),0)</f>
        <v>0</v>
      </c>
      <c r="I51" s="24">
        <f>IFERROR(-VLOOKUP($D51,'0. Control Panel'!$C$7:$F$16,4,FALSE)*(('3. Product Benefit Input'!$F51+'3. Product Benefit Input'!J51)*'3. Product Benefit Input'!$L51)+(VLOOKUP($D51,'0. Control Panel'!$C$7:$F$16,4,FALSE)*('3. Product Benefit Input'!$F51*'3. Product Benefit Input'!$L51)),0)</f>
        <v>0</v>
      </c>
      <c r="K51" s="24">
        <f>IFERROR((VLOOKUP($D51,'0. Control Panel'!$C$7:$F$16,4,FALSE)*('3. Product Benefit Input'!$F51+'3. Product Benefit Input'!H51)*'3. Product Benefit Input'!$L51)-(VLOOKUP($D51,'0. Control Panel'!$C$7:$F$16,4,FALSE)*('3. Product Benefit Input'!$F51+'3. Product Benefit Input'!H51)*'3. Product Benefit Input'!N51),0)</f>
        <v>0</v>
      </c>
      <c r="L51" s="24">
        <f>IFERROR((VLOOKUP($D51,'0. Control Panel'!$C$7:$F$16,4,FALSE)*('3. Product Benefit Input'!$F51+'3. Product Benefit Input'!I51)*'3. Product Benefit Input'!$L51)-(VLOOKUP($D51,'0. Control Panel'!$C$7:$F$16,4,FALSE)*('3. Product Benefit Input'!$F51+'3. Product Benefit Input'!I51)*'3. Product Benefit Input'!O51),0)</f>
        <v>0</v>
      </c>
      <c r="M51" s="24">
        <f>IFERROR((VLOOKUP($D51,'0. Control Panel'!$C$7:$F$16,4,FALSE)*('3. Product Benefit Input'!$F51+'3. Product Benefit Input'!J51)*'3. Product Benefit Input'!$L51)-(VLOOKUP($D51,'0. Control Panel'!$C$7:$F$16,4,FALSE)*('3. Product Benefit Input'!$F51+'3. Product Benefit Input'!J51)*'3. Product Benefit Input'!P51),0)</f>
        <v>0</v>
      </c>
      <c r="O51" s="24">
        <f>'3. Product Benefit Input'!T51</f>
        <v>0</v>
      </c>
      <c r="P51" s="24">
        <f>'3. Product Benefit Input'!U51</f>
        <v>0</v>
      </c>
      <c r="Q51" s="24">
        <f>'3. Product Benefit Input'!V51</f>
        <v>0</v>
      </c>
      <c r="S51" s="24">
        <f t="shared" si="45"/>
        <v>0</v>
      </c>
      <c r="T51" s="24">
        <f t="shared" si="42"/>
        <v>0</v>
      </c>
      <c r="U51" s="24">
        <f t="shared" si="43"/>
        <v>0</v>
      </c>
    </row>
    <row r="52" spans="1:21" x14ac:dyDescent="0.25">
      <c r="A52" t="str">
        <f t="shared" si="44"/>
        <v>FinanceP4</v>
      </c>
      <c r="C52" s="6">
        <f>IF(C51="-","-",IF(C51+1&gt;COUNTA('0. Control Panel'!$C$7:$C$16),"-",C51+1))</f>
        <v>7</v>
      </c>
      <c r="D52" s="16" t="str">
        <f>IF(C52="-","-",INDEX('0. Control Panel'!$B$6:$K$16,MATCH('3.1 Product Benefit Output'!$C52,'0. Control Panel'!$B$6:$B$16,0),MATCH(D$6,'0. Control Panel'!$B$6:$K$6,0)))</f>
        <v>Finance</v>
      </c>
      <c r="E52" s="6"/>
      <c r="F52" s="2"/>
      <c r="G52" s="24">
        <f>IFERROR(-VLOOKUP($D52,'0. Control Panel'!$C$7:$F$16,4,FALSE)*(('3. Product Benefit Input'!$F52+'3. Product Benefit Input'!H52)*'3. Product Benefit Input'!$L52)+(VLOOKUP($D52,'0. Control Panel'!$C$7:$F$16,4,FALSE)*('3. Product Benefit Input'!$F52*'3. Product Benefit Input'!$L52)),0)</f>
        <v>0</v>
      </c>
      <c r="H52" s="24">
        <f>IFERROR(-VLOOKUP($D52,'0. Control Panel'!$C$7:$F$16,4,FALSE)*(('3. Product Benefit Input'!$F52+'3. Product Benefit Input'!I52)*'3. Product Benefit Input'!$L52)+(VLOOKUP($D52,'0. Control Panel'!$C$7:$F$16,4,FALSE)*('3. Product Benefit Input'!$F52*'3. Product Benefit Input'!$L52)),0)</f>
        <v>0</v>
      </c>
      <c r="I52" s="24">
        <f>IFERROR(-VLOOKUP($D52,'0. Control Panel'!$C$7:$F$16,4,FALSE)*(('3. Product Benefit Input'!$F52+'3. Product Benefit Input'!J52)*'3. Product Benefit Input'!$L52)+(VLOOKUP($D52,'0. Control Panel'!$C$7:$F$16,4,FALSE)*('3. Product Benefit Input'!$F52*'3. Product Benefit Input'!$L52)),0)</f>
        <v>0</v>
      </c>
      <c r="K52" s="24">
        <f>IFERROR((VLOOKUP($D52,'0. Control Panel'!$C$7:$F$16,4,FALSE)*('3. Product Benefit Input'!$F52+'3. Product Benefit Input'!H52)*'3. Product Benefit Input'!$L52)-(VLOOKUP($D52,'0. Control Panel'!$C$7:$F$16,4,FALSE)*('3. Product Benefit Input'!$F52+'3. Product Benefit Input'!H52)*'3. Product Benefit Input'!N52),0)</f>
        <v>0</v>
      </c>
      <c r="L52" s="24">
        <f>IFERROR((VLOOKUP($D52,'0. Control Panel'!$C$7:$F$16,4,FALSE)*('3. Product Benefit Input'!$F52+'3. Product Benefit Input'!I52)*'3. Product Benefit Input'!$L52)-(VLOOKUP($D52,'0. Control Panel'!$C$7:$F$16,4,FALSE)*('3. Product Benefit Input'!$F52+'3. Product Benefit Input'!I52)*'3. Product Benefit Input'!O52),0)</f>
        <v>0</v>
      </c>
      <c r="M52" s="24">
        <f>IFERROR((VLOOKUP($D52,'0. Control Panel'!$C$7:$F$16,4,FALSE)*('3. Product Benefit Input'!$F52+'3. Product Benefit Input'!J52)*'3. Product Benefit Input'!$L52)-(VLOOKUP($D52,'0. Control Panel'!$C$7:$F$16,4,FALSE)*('3. Product Benefit Input'!$F52+'3. Product Benefit Input'!J52)*'3. Product Benefit Input'!P52),0)</f>
        <v>0</v>
      </c>
      <c r="O52" s="24">
        <f>'3. Product Benefit Input'!T52</f>
        <v>0</v>
      </c>
      <c r="P52" s="24">
        <f>'3. Product Benefit Input'!U52</f>
        <v>0</v>
      </c>
      <c r="Q52" s="24">
        <f>'3. Product Benefit Input'!V52</f>
        <v>0</v>
      </c>
      <c r="S52" s="24">
        <f t="shared" si="45"/>
        <v>0</v>
      </c>
      <c r="T52" s="24">
        <f t="shared" si="42"/>
        <v>0</v>
      </c>
      <c r="U52" s="24">
        <f t="shared" si="43"/>
        <v>0</v>
      </c>
    </row>
    <row r="53" spans="1:21" x14ac:dyDescent="0.25">
      <c r="A53" t="str">
        <f t="shared" si="44"/>
        <v>Head OfficeP4</v>
      </c>
      <c r="C53" s="6">
        <f>IF(C52="-","-",IF(C52+1&gt;COUNTA('0. Control Panel'!$C$7:$C$16),"-",C52+1))</f>
        <v>8</v>
      </c>
      <c r="D53" s="16" t="str">
        <f>IF(C53="-","-",INDEX('0. Control Panel'!$B$6:$K$16,MATCH('3.1 Product Benefit Output'!$C53,'0. Control Panel'!$B$6:$B$16,0),MATCH(D$6,'0. Control Panel'!$B$6:$K$6,0)))</f>
        <v>Head Office</v>
      </c>
      <c r="E53" s="6"/>
      <c r="F53" s="2"/>
      <c r="G53" s="24">
        <f>IFERROR(-VLOOKUP($D53,'0. Control Panel'!$C$7:$F$16,4,FALSE)*(('3. Product Benefit Input'!$F53+'3. Product Benefit Input'!H53)*'3. Product Benefit Input'!$L53)+(VLOOKUP($D53,'0. Control Panel'!$C$7:$F$16,4,FALSE)*('3. Product Benefit Input'!$F53*'3. Product Benefit Input'!$L53)),0)</f>
        <v>0</v>
      </c>
      <c r="H53" s="24">
        <f>IFERROR(-VLOOKUP($D53,'0. Control Panel'!$C$7:$F$16,4,FALSE)*(('3. Product Benefit Input'!$F53+'3. Product Benefit Input'!I53)*'3. Product Benefit Input'!$L53)+(VLOOKUP($D53,'0. Control Panel'!$C$7:$F$16,4,FALSE)*('3. Product Benefit Input'!$F53*'3. Product Benefit Input'!$L53)),0)</f>
        <v>0</v>
      </c>
      <c r="I53" s="24">
        <f>IFERROR(-VLOOKUP($D53,'0. Control Panel'!$C$7:$F$16,4,FALSE)*(('3. Product Benefit Input'!$F53+'3. Product Benefit Input'!J53)*'3. Product Benefit Input'!$L53)+(VLOOKUP($D53,'0. Control Panel'!$C$7:$F$16,4,FALSE)*('3. Product Benefit Input'!$F53*'3. Product Benefit Input'!$L53)),0)</f>
        <v>0</v>
      </c>
      <c r="K53" s="24">
        <f>IFERROR((VLOOKUP($D53,'0. Control Panel'!$C$7:$F$16,4,FALSE)*('3. Product Benefit Input'!$F53+'3. Product Benefit Input'!H53)*'3. Product Benefit Input'!$L53)-(VLOOKUP($D53,'0. Control Panel'!$C$7:$F$16,4,FALSE)*('3. Product Benefit Input'!$F53+'3. Product Benefit Input'!H53)*'3. Product Benefit Input'!N53),0)</f>
        <v>0</v>
      </c>
      <c r="L53" s="24">
        <f>IFERROR((VLOOKUP($D53,'0. Control Panel'!$C$7:$F$16,4,FALSE)*('3. Product Benefit Input'!$F53+'3. Product Benefit Input'!I53)*'3. Product Benefit Input'!$L53)-(VLOOKUP($D53,'0. Control Panel'!$C$7:$F$16,4,FALSE)*('3. Product Benefit Input'!$F53+'3. Product Benefit Input'!I53)*'3. Product Benefit Input'!O53),0)</f>
        <v>0</v>
      </c>
      <c r="M53" s="24">
        <f>IFERROR((VLOOKUP($D53,'0. Control Panel'!$C$7:$F$16,4,FALSE)*('3. Product Benefit Input'!$F53+'3. Product Benefit Input'!J53)*'3. Product Benefit Input'!$L53)-(VLOOKUP($D53,'0. Control Panel'!$C$7:$F$16,4,FALSE)*('3. Product Benefit Input'!$F53+'3. Product Benefit Input'!J53)*'3. Product Benefit Input'!P53),0)</f>
        <v>0</v>
      </c>
      <c r="O53" s="24">
        <f>'3. Product Benefit Input'!T53</f>
        <v>0</v>
      </c>
      <c r="P53" s="24">
        <f>'3. Product Benefit Input'!U53</f>
        <v>0</v>
      </c>
      <c r="Q53" s="24">
        <f>'3. Product Benefit Input'!V53</f>
        <v>0</v>
      </c>
      <c r="S53" s="24">
        <f t="shared" si="45"/>
        <v>0</v>
      </c>
      <c r="T53" s="24">
        <f t="shared" si="42"/>
        <v>0</v>
      </c>
      <c r="U53" s="24">
        <f t="shared" si="43"/>
        <v>0</v>
      </c>
    </row>
    <row r="54" spans="1:21" x14ac:dyDescent="0.25">
      <c r="A54" t="str">
        <f t="shared" si="44"/>
        <v>-P4</v>
      </c>
      <c r="C54" s="6" t="str">
        <f>IF(C53="-","-",IF(C53+1&gt;COUNTA('0. Control Panel'!$C$7:$C$16),"-",C53+1))</f>
        <v>-</v>
      </c>
      <c r="D54" s="16" t="str">
        <f>IF(C54="-","-",INDEX('0. Control Panel'!$B$6:$K$16,MATCH('3.1 Product Benefit Output'!$C54,'0. Control Panel'!$B$6:$B$16,0),MATCH(D$6,'0. Control Panel'!$B$6:$K$6,0)))</f>
        <v>-</v>
      </c>
      <c r="E54" s="6"/>
      <c r="F54" s="2"/>
      <c r="G54" s="24">
        <f>IFERROR(-VLOOKUP($D54,'0. Control Panel'!$C$7:$F$16,4,FALSE)*(('3. Product Benefit Input'!$F54+'3. Product Benefit Input'!H54)*'3. Product Benefit Input'!$L54)+(VLOOKUP($D54,'0. Control Panel'!$C$7:$F$16,4,FALSE)*('3. Product Benefit Input'!$F54*'3. Product Benefit Input'!$L54)),0)</f>
        <v>0</v>
      </c>
      <c r="H54" s="24">
        <f>IFERROR(-VLOOKUP($D54,'0. Control Panel'!$C$7:$F$16,4,FALSE)*(('3. Product Benefit Input'!$F54+'3. Product Benefit Input'!I54)*'3. Product Benefit Input'!$L54)+(VLOOKUP($D54,'0. Control Panel'!$C$7:$F$16,4,FALSE)*('3. Product Benefit Input'!$F54*'3. Product Benefit Input'!$L54)),0)</f>
        <v>0</v>
      </c>
      <c r="I54" s="24">
        <f>IFERROR(-VLOOKUP($D54,'0. Control Panel'!$C$7:$F$16,4,FALSE)*(('3. Product Benefit Input'!$F54+'3. Product Benefit Input'!J54)*'3. Product Benefit Input'!$L54)+(VLOOKUP($D54,'0. Control Panel'!$C$7:$F$16,4,FALSE)*('3. Product Benefit Input'!$F54*'3. Product Benefit Input'!$L54)),0)</f>
        <v>0</v>
      </c>
      <c r="K54" s="24">
        <f>IFERROR((VLOOKUP($D54,'0. Control Panel'!$C$7:$F$16,4,FALSE)*('3. Product Benefit Input'!$F54+'3. Product Benefit Input'!H54)*'3. Product Benefit Input'!$L54)-(VLOOKUP($D54,'0. Control Panel'!$C$7:$F$16,4,FALSE)*('3. Product Benefit Input'!$F54+'3. Product Benefit Input'!H54)*'3. Product Benefit Input'!N54),0)</f>
        <v>0</v>
      </c>
      <c r="L54" s="24">
        <f>IFERROR((VLOOKUP($D54,'0. Control Panel'!$C$7:$F$16,4,FALSE)*('3. Product Benefit Input'!$F54+'3. Product Benefit Input'!I54)*'3. Product Benefit Input'!$L54)-(VLOOKUP($D54,'0. Control Panel'!$C$7:$F$16,4,FALSE)*('3. Product Benefit Input'!$F54+'3. Product Benefit Input'!I54)*'3. Product Benefit Input'!O54),0)</f>
        <v>0</v>
      </c>
      <c r="M54" s="24">
        <f>IFERROR((VLOOKUP($D54,'0. Control Panel'!$C$7:$F$16,4,FALSE)*('3. Product Benefit Input'!$F54+'3. Product Benefit Input'!J54)*'3. Product Benefit Input'!$L54)-(VLOOKUP($D54,'0. Control Panel'!$C$7:$F$16,4,FALSE)*('3. Product Benefit Input'!$F54+'3. Product Benefit Input'!J54)*'3. Product Benefit Input'!P54),0)</f>
        <v>0</v>
      </c>
      <c r="O54" s="24">
        <f>'3. Product Benefit Input'!T54</f>
        <v>0</v>
      </c>
      <c r="P54" s="24">
        <f>'3. Product Benefit Input'!U54</f>
        <v>0</v>
      </c>
      <c r="Q54" s="24">
        <f>'3. Product Benefit Input'!V54</f>
        <v>0</v>
      </c>
      <c r="S54" s="24">
        <f t="shared" si="45"/>
        <v>0</v>
      </c>
      <c r="T54" s="24">
        <f t="shared" si="42"/>
        <v>0</v>
      </c>
      <c r="U54" s="24">
        <f t="shared" si="43"/>
        <v>0</v>
      </c>
    </row>
    <row r="55" spans="1:21" x14ac:dyDescent="0.25">
      <c r="A55" t="str">
        <f t="shared" si="44"/>
        <v>-P4</v>
      </c>
      <c r="C55" s="7" t="str">
        <f>IF(C54="-","-",IF(C54+1&gt;COUNTA('0. Control Panel'!$C$7:$C$16),"-",C54+1))</f>
        <v>-</v>
      </c>
      <c r="D55" s="17" t="str">
        <f>IF(C55="-","-",INDEX('0. Control Panel'!$B$6:$K$16,MATCH('3.1 Product Benefit Output'!$C55,'0. Control Panel'!$B$6:$B$16,0),MATCH(D$6,'0. Control Panel'!$B$6:$K$6,0)))</f>
        <v>-</v>
      </c>
      <c r="E55" s="7"/>
      <c r="F55" s="2"/>
      <c r="G55" s="24">
        <f>IFERROR(-VLOOKUP($D55,'0. Control Panel'!$C$7:$F$16,4,FALSE)*(('3. Product Benefit Input'!$F55+'3. Product Benefit Input'!H55)*'3. Product Benefit Input'!$L55)+(VLOOKUP($D55,'0. Control Panel'!$C$7:$F$16,4,FALSE)*('3. Product Benefit Input'!$F55*'3. Product Benefit Input'!$L55)),0)</f>
        <v>0</v>
      </c>
      <c r="H55" s="24">
        <f>IFERROR(-VLOOKUP($D55,'0. Control Panel'!$C$7:$F$16,4,FALSE)*(('3. Product Benefit Input'!$F55+'3. Product Benefit Input'!I55)*'3. Product Benefit Input'!$L55)+(VLOOKUP($D55,'0. Control Panel'!$C$7:$F$16,4,FALSE)*('3. Product Benefit Input'!$F55*'3. Product Benefit Input'!$L55)),0)</f>
        <v>0</v>
      </c>
      <c r="I55" s="24">
        <f>IFERROR(-VLOOKUP($D55,'0. Control Panel'!$C$7:$F$16,4,FALSE)*(('3. Product Benefit Input'!$F55+'3. Product Benefit Input'!J55)*'3. Product Benefit Input'!$L55)+(VLOOKUP($D55,'0. Control Panel'!$C$7:$F$16,4,FALSE)*('3. Product Benefit Input'!$F55*'3. Product Benefit Input'!$L55)),0)</f>
        <v>0</v>
      </c>
      <c r="K55" s="24">
        <f>IFERROR((VLOOKUP($D55,'0. Control Panel'!$C$7:$F$16,4,FALSE)*('3. Product Benefit Input'!$F55+'3. Product Benefit Input'!H55)*'3. Product Benefit Input'!$L55)-(VLOOKUP($D55,'0. Control Panel'!$C$7:$F$16,4,FALSE)*('3. Product Benefit Input'!$F55+'3. Product Benefit Input'!H55)*'3. Product Benefit Input'!N55),0)</f>
        <v>0</v>
      </c>
      <c r="L55" s="24">
        <f>IFERROR((VLOOKUP($D55,'0. Control Panel'!$C$7:$F$16,4,FALSE)*('3. Product Benefit Input'!$F55+'3. Product Benefit Input'!I55)*'3. Product Benefit Input'!$L55)-(VLOOKUP($D55,'0. Control Panel'!$C$7:$F$16,4,FALSE)*('3. Product Benefit Input'!$F55+'3. Product Benefit Input'!I55)*'3. Product Benefit Input'!O55),0)</f>
        <v>0</v>
      </c>
      <c r="M55" s="24">
        <f>IFERROR((VLOOKUP($D55,'0. Control Panel'!$C$7:$F$16,4,FALSE)*('3. Product Benefit Input'!$F55+'3. Product Benefit Input'!J55)*'3. Product Benefit Input'!$L55)-(VLOOKUP($D55,'0. Control Panel'!$C$7:$F$16,4,FALSE)*('3. Product Benefit Input'!$F55+'3. Product Benefit Input'!J55)*'3. Product Benefit Input'!P55),0)</f>
        <v>0</v>
      </c>
      <c r="O55" s="24">
        <f>'3. Product Benefit Input'!T55</f>
        <v>0</v>
      </c>
      <c r="P55" s="24">
        <f>'3. Product Benefit Input'!U55</f>
        <v>0</v>
      </c>
      <c r="Q55" s="24">
        <f>'3. Product Benefit Input'!V55</f>
        <v>0</v>
      </c>
      <c r="S55" s="24">
        <f t="shared" si="45"/>
        <v>0</v>
      </c>
      <c r="T55" s="24">
        <f t="shared" si="42"/>
        <v>0</v>
      </c>
      <c r="U55" s="24">
        <f t="shared" si="43"/>
        <v>0</v>
      </c>
    </row>
    <row r="56" spans="1:21" ht="16.5" thickBot="1" x14ac:dyDescent="0.3">
      <c r="A56" s="22" t="str">
        <f>D56&amp;$C$45</f>
        <v>All Departments/FunctionsP4</v>
      </c>
      <c r="B56" s="22"/>
      <c r="C56" s="23"/>
      <c r="D56" s="27" t="str">
        <f>D43</f>
        <v>All Departments/Functions</v>
      </c>
      <c r="E56" s="23"/>
      <c r="F56" s="23"/>
      <c r="G56" s="28">
        <f>SUM(G46:G55)</f>
        <v>40000</v>
      </c>
      <c r="H56" s="28">
        <f t="shared" ref="H56" si="46">SUM(H46:H55)</f>
        <v>80000</v>
      </c>
      <c r="I56" s="28">
        <f t="shared" ref="I56" si="47">SUM(I46:I55)</f>
        <v>200000</v>
      </c>
      <c r="J56" s="23"/>
      <c r="K56" s="28">
        <f>SUM(K46:K55)</f>
        <v>0</v>
      </c>
      <c r="L56" s="28">
        <f t="shared" ref="L56" si="48">SUM(L46:L55)</f>
        <v>637600</v>
      </c>
      <c r="M56" s="28">
        <f t="shared" ref="M56" si="49">SUM(M46:M55)</f>
        <v>884400</v>
      </c>
      <c r="N56" s="29"/>
      <c r="O56" s="28">
        <f t="shared" ref="O56" si="50">SUM(O46:O55)</f>
        <v>0</v>
      </c>
      <c r="P56" s="28">
        <f t="shared" ref="P56" si="51">SUM(P46:P55)</f>
        <v>0</v>
      </c>
      <c r="Q56" s="28">
        <f t="shared" ref="Q56" si="52">SUM(Q46:Q55)</f>
        <v>0</v>
      </c>
      <c r="R56" s="29"/>
      <c r="S56" s="28">
        <f t="shared" ref="S56" si="53">SUM(S46:S55)</f>
        <v>40000</v>
      </c>
      <c r="T56" s="28">
        <f t="shared" ref="T56" si="54">SUM(T46:T55)</f>
        <v>717600</v>
      </c>
      <c r="U56" s="28">
        <f t="shared" ref="U56" si="55">SUM(U46:U55)</f>
        <v>1084400</v>
      </c>
    </row>
    <row r="57" spans="1:21" ht="16.5" thickTop="1" x14ac:dyDescent="0.25"/>
    <row r="58" spans="1:21" ht="15.95" customHeight="1" x14ac:dyDescent="0.25">
      <c r="C58" s="12" t="s">
        <v>26</v>
      </c>
      <c r="D58" s="30" t="str">
        <f>IF(INDEX('0. Control Panel'!$B$31:$C$41,MATCH('3.1 Product Benefit Output'!$C58,'0. Control Panel'!$B$31:$B$41,0),2)="","n/a",INDEX('0. Control Panel'!$B$31:$C$41,MATCH('3.1 Product Benefit Output'!$C58,'0. Control Panel'!$B$31:$B$41,0),2))</f>
        <v>Reduced Time to Take New Product to Market</v>
      </c>
      <c r="G58"/>
      <c r="H58"/>
      <c r="I58"/>
      <c r="J58"/>
      <c r="K58"/>
      <c r="L58"/>
      <c r="M58"/>
      <c r="N58"/>
      <c r="O58"/>
      <c r="P58"/>
      <c r="Q58"/>
      <c r="R58"/>
      <c r="S58"/>
      <c r="T58"/>
      <c r="U58"/>
    </row>
    <row r="59" spans="1:21" x14ac:dyDescent="0.25">
      <c r="A59" t="str">
        <f>D59&amp;$C$58</f>
        <v>ITP5</v>
      </c>
      <c r="C59" s="5">
        <v>1</v>
      </c>
      <c r="D59" s="15" t="str">
        <f>IF(C59="-","-",INDEX('0. Control Panel'!$B$6:$K$16,MATCH('3.1 Product Benefit Output'!$C59,'0. Control Panel'!$B$6:$B$16,0),MATCH(D$6,'0. Control Panel'!$B$6:$K$6,0)))</f>
        <v>IT</v>
      </c>
      <c r="E59" s="5"/>
      <c r="F59" s="2"/>
      <c r="G59" s="24">
        <f>IFERROR(-VLOOKUP($D59,'0. Control Panel'!$C$7:$F$16,4,FALSE)*(('3. Product Benefit Input'!$F59+'3. Product Benefit Input'!H59)*'3. Product Benefit Input'!$L59)+(VLOOKUP($D59,'0. Control Panel'!$C$7:$F$16,4,FALSE)*('3. Product Benefit Input'!$F59*'3. Product Benefit Input'!$L59)),0)</f>
        <v>0</v>
      </c>
      <c r="H59" s="24">
        <f>IFERROR(-VLOOKUP($D59,'0. Control Panel'!$C$7:$F$16,4,FALSE)*(('3. Product Benefit Input'!$F59+'3. Product Benefit Input'!I59)*'3. Product Benefit Input'!$L59)+(VLOOKUP($D59,'0. Control Panel'!$C$7:$F$16,4,FALSE)*('3. Product Benefit Input'!$F59*'3. Product Benefit Input'!$L59)),0)</f>
        <v>0</v>
      </c>
      <c r="I59" s="24">
        <f>IFERROR(-VLOOKUP($D59,'0. Control Panel'!$C$7:$F$16,4,FALSE)*(('3. Product Benefit Input'!$F59+'3. Product Benefit Input'!J59)*'3. Product Benefit Input'!$L59)+(VLOOKUP($D59,'0. Control Panel'!$C$7:$F$16,4,FALSE)*('3. Product Benefit Input'!$F59*'3. Product Benefit Input'!$L59)),0)</f>
        <v>0</v>
      </c>
      <c r="K59" s="24">
        <f>IFERROR((VLOOKUP($D59,'0. Control Panel'!$C$7:$F$16,4,FALSE)*('3. Product Benefit Input'!$F59+'3. Product Benefit Input'!H59)*'3. Product Benefit Input'!$L59)-(VLOOKUP($D59,'0. Control Panel'!$C$7:$F$16,4,FALSE)*('3. Product Benefit Input'!$F59+'3. Product Benefit Input'!H59)*'3. Product Benefit Input'!N59),0)</f>
        <v>0</v>
      </c>
      <c r="L59" s="24">
        <f>IFERROR((VLOOKUP($D59,'0. Control Panel'!$C$7:$F$16,4,FALSE)*('3. Product Benefit Input'!$F59+'3. Product Benefit Input'!I59)*'3. Product Benefit Input'!$L59)-(VLOOKUP($D59,'0. Control Panel'!$C$7:$F$16,4,FALSE)*('3. Product Benefit Input'!$F59+'3. Product Benefit Input'!I59)*'3. Product Benefit Input'!O59),0)</f>
        <v>0</v>
      </c>
      <c r="M59" s="24">
        <f>IFERROR((VLOOKUP($D59,'0. Control Panel'!$C$7:$F$16,4,FALSE)*('3. Product Benefit Input'!$F59+'3. Product Benefit Input'!J59)*'3. Product Benefit Input'!$L59)-(VLOOKUP($D59,'0. Control Panel'!$C$7:$F$16,4,FALSE)*('3. Product Benefit Input'!$F59+'3. Product Benefit Input'!J59)*'3. Product Benefit Input'!P59),0)</f>
        <v>0</v>
      </c>
      <c r="O59" s="24">
        <f>'3. Product Benefit Input'!T59</f>
        <v>0</v>
      </c>
      <c r="P59" s="24">
        <f>'3. Product Benefit Input'!U59</f>
        <v>0</v>
      </c>
      <c r="Q59" s="24">
        <f>'3. Product Benefit Input'!V59</f>
        <v>0</v>
      </c>
      <c r="S59" s="24">
        <f>SUM(G59,K59,O59)</f>
        <v>0</v>
      </c>
      <c r="T59" s="24">
        <f t="shared" ref="T59:T68" si="56">SUM(H59,L59,P59)</f>
        <v>0</v>
      </c>
      <c r="U59" s="24">
        <f t="shared" ref="U59:U68" si="57">SUM(I59,M59,Q59)</f>
        <v>0</v>
      </c>
    </row>
    <row r="60" spans="1:21" x14ac:dyDescent="0.25">
      <c r="A60" t="str">
        <f t="shared" ref="A60:A68" si="58">D60&amp;$C$58</f>
        <v>SalesP5</v>
      </c>
      <c r="C60" s="6">
        <f>IF(C59="-","-",IF(C59+1&gt;COUNTA('0. Control Panel'!$C$7:$C$16),"-",C59+1))</f>
        <v>2</v>
      </c>
      <c r="D60" s="16" t="str">
        <f>IF(C60="-","-",INDEX('0. Control Panel'!$B$6:$K$16,MATCH('3.1 Product Benefit Output'!$C60,'0. Control Panel'!$B$6:$B$16,0),MATCH(D$6,'0. Control Panel'!$B$6:$K$6,0)))</f>
        <v>Sales</v>
      </c>
      <c r="E60" s="6"/>
      <c r="F60" s="2"/>
      <c r="G60" s="24">
        <f>IFERROR(-VLOOKUP($D60,'0. Control Panel'!$C$7:$F$16,4,FALSE)*(('3. Product Benefit Input'!$F60+'3. Product Benefit Input'!H60)*'3. Product Benefit Input'!$L60)+(VLOOKUP($D60,'0. Control Panel'!$C$7:$F$16,4,FALSE)*('3. Product Benefit Input'!$F60*'3. Product Benefit Input'!$L60)),0)</f>
        <v>0</v>
      </c>
      <c r="H60" s="24">
        <f>IFERROR(-VLOOKUP($D60,'0. Control Panel'!$C$7:$F$16,4,FALSE)*(('3. Product Benefit Input'!$F60+'3. Product Benefit Input'!I60)*'3. Product Benefit Input'!$L60)+(VLOOKUP($D60,'0. Control Panel'!$C$7:$F$16,4,FALSE)*('3. Product Benefit Input'!$F60*'3. Product Benefit Input'!$L60)),0)</f>
        <v>0</v>
      </c>
      <c r="I60" s="24">
        <f>IFERROR(-VLOOKUP($D60,'0. Control Panel'!$C$7:$F$16,4,FALSE)*(('3. Product Benefit Input'!$F60+'3. Product Benefit Input'!J60)*'3. Product Benefit Input'!$L60)+(VLOOKUP($D60,'0. Control Panel'!$C$7:$F$16,4,FALSE)*('3. Product Benefit Input'!$F60*'3. Product Benefit Input'!$L60)),0)</f>
        <v>0</v>
      </c>
      <c r="K60" s="24">
        <f>IFERROR((VLOOKUP($D60,'0. Control Panel'!$C$7:$F$16,4,FALSE)*('3. Product Benefit Input'!$F60+'3. Product Benefit Input'!H60)*'3. Product Benefit Input'!$L60)-(VLOOKUP($D60,'0. Control Panel'!$C$7:$F$16,4,FALSE)*('3. Product Benefit Input'!$F60+'3. Product Benefit Input'!H60)*'3. Product Benefit Input'!N60),0)</f>
        <v>0</v>
      </c>
      <c r="L60" s="24">
        <f>IFERROR((VLOOKUP($D60,'0. Control Panel'!$C$7:$F$16,4,FALSE)*('3. Product Benefit Input'!$F60+'3. Product Benefit Input'!I60)*'3. Product Benefit Input'!$L60)-(VLOOKUP($D60,'0. Control Panel'!$C$7:$F$16,4,FALSE)*('3. Product Benefit Input'!$F60+'3. Product Benefit Input'!I60)*'3. Product Benefit Input'!O60),0)</f>
        <v>0</v>
      </c>
      <c r="M60" s="24">
        <f>IFERROR((VLOOKUP($D60,'0. Control Panel'!$C$7:$F$16,4,FALSE)*('3. Product Benefit Input'!$F60+'3. Product Benefit Input'!J60)*'3. Product Benefit Input'!$L60)-(VLOOKUP($D60,'0. Control Panel'!$C$7:$F$16,4,FALSE)*('3. Product Benefit Input'!$F60+'3. Product Benefit Input'!J60)*'3. Product Benefit Input'!P60),0)</f>
        <v>0</v>
      </c>
      <c r="O60" s="24">
        <f>'3. Product Benefit Input'!T60</f>
        <v>0</v>
      </c>
      <c r="P60" s="24">
        <f>'3. Product Benefit Input'!U60</f>
        <v>0</v>
      </c>
      <c r="Q60" s="24">
        <f>'3. Product Benefit Input'!V60</f>
        <v>0</v>
      </c>
      <c r="S60" s="24">
        <f t="shared" ref="S60:S68" si="59">SUM(G60,K60,O60)</f>
        <v>0</v>
      </c>
      <c r="T60" s="24">
        <f t="shared" si="56"/>
        <v>0</v>
      </c>
      <c r="U60" s="24">
        <f t="shared" si="57"/>
        <v>0</v>
      </c>
    </row>
    <row r="61" spans="1:21" x14ac:dyDescent="0.25">
      <c r="A61" t="str">
        <f t="shared" si="58"/>
        <v>Product AP5</v>
      </c>
      <c r="C61" s="6">
        <f>IF(C60="-","-",IF(C60+1&gt;COUNTA('0. Control Panel'!$C$7:$C$16),"-",C60+1))</f>
        <v>3</v>
      </c>
      <c r="D61" s="16" t="str">
        <f>IF(C61="-","-",INDEX('0. Control Panel'!$B$6:$K$16,MATCH('3.1 Product Benefit Output'!$C61,'0. Control Panel'!$B$6:$B$16,0),MATCH(D$6,'0. Control Panel'!$B$6:$K$6,0)))</f>
        <v>Product A</v>
      </c>
      <c r="E61" s="6"/>
      <c r="F61" s="2"/>
      <c r="G61" s="24">
        <f>IFERROR(-VLOOKUP($D61,'0. Control Panel'!$C$7:$F$16,4,FALSE)*(('3. Product Benefit Input'!$F61+'3. Product Benefit Input'!H61)*'3. Product Benefit Input'!$L61)+(VLOOKUP($D61,'0. Control Panel'!$C$7:$F$16,4,FALSE)*('3. Product Benefit Input'!$F61*'3. Product Benefit Input'!$L61)),0)</f>
        <v>268000</v>
      </c>
      <c r="H61" s="24">
        <f>IFERROR(-VLOOKUP($D61,'0. Control Panel'!$C$7:$F$16,4,FALSE)*(('3. Product Benefit Input'!$F61+'3. Product Benefit Input'!I61)*'3. Product Benefit Input'!$L61)+(VLOOKUP($D61,'0. Control Panel'!$C$7:$F$16,4,FALSE)*('3. Product Benefit Input'!$F61*'3. Product Benefit Input'!$L61)),0)</f>
        <v>536000</v>
      </c>
      <c r="I61" s="24">
        <f>IFERROR(-VLOOKUP($D61,'0. Control Panel'!$C$7:$F$16,4,FALSE)*(('3. Product Benefit Input'!$F61+'3. Product Benefit Input'!J61)*'3. Product Benefit Input'!$L61)+(VLOOKUP($D61,'0. Control Panel'!$C$7:$F$16,4,FALSE)*('3. Product Benefit Input'!$F61*'3. Product Benefit Input'!$L61)),0)</f>
        <v>1340000</v>
      </c>
      <c r="K61" s="24">
        <f>IFERROR((VLOOKUP($D61,'0. Control Panel'!$C$7:$F$16,4,FALSE)*('3. Product Benefit Input'!$F61+'3. Product Benefit Input'!H61)*'3. Product Benefit Input'!$L61)-(VLOOKUP($D61,'0. Control Panel'!$C$7:$F$16,4,FALSE)*('3. Product Benefit Input'!$F61+'3. Product Benefit Input'!H61)*'3. Product Benefit Input'!N61),0)</f>
        <v>0</v>
      </c>
      <c r="L61" s="24">
        <f>IFERROR((VLOOKUP($D61,'0. Control Panel'!$C$7:$F$16,4,FALSE)*('3. Product Benefit Input'!$F61+'3. Product Benefit Input'!I61)*'3. Product Benefit Input'!$L61)-(VLOOKUP($D61,'0. Control Panel'!$C$7:$F$16,4,FALSE)*('3. Product Benefit Input'!$F61+'3. Product Benefit Input'!I61)*'3. Product Benefit Input'!O61),0)</f>
        <v>0</v>
      </c>
      <c r="M61" s="24">
        <f>IFERROR((VLOOKUP($D61,'0. Control Panel'!$C$7:$F$16,4,FALSE)*('3. Product Benefit Input'!$F61+'3. Product Benefit Input'!J61)*'3. Product Benefit Input'!$L61)-(VLOOKUP($D61,'0. Control Panel'!$C$7:$F$16,4,FALSE)*('3. Product Benefit Input'!$F61+'3. Product Benefit Input'!J61)*'3. Product Benefit Input'!P61),0)</f>
        <v>0</v>
      </c>
      <c r="O61" s="24">
        <f>'3. Product Benefit Input'!T61</f>
        <v>0</v>
      </c>
      <c r="P61" s="24">
        <f>'3. Product Benefit Input'!U61</f>
        <v>0</v>
      </c>
      <c r="Q61" s="24">
        <f>'3. Product Benefit Input'!V61</f>
        <v>0</v>
      </c>
      <c r="S61" s="24">
        <f t="shared" si="59"/>
        <v>268000</v>
      </c>
      <c r="T61" s="24">
        <f t="shared" si="56"/>
        <v>536000</v>
      </c>
      <c r="U61" s="24">
        <f t="shared" si="57"/>
        <v>1340000</v>
      </c>
    </row>
    <row r="62" spans="1:21" x14ac:dyDescent="0.25">
      <c r="A62" t="str">
        <f t="shared" si="58"/>
        <v>Product BP5</v>
      </c>
      <c r="C62" s="6">
        <f>IF(C61="-","-",IF(C61+1&gt;COUNTA('0. Control Panel'!$C$7:$C$16),"-",C61+1))</f>
        <v>4</v>
      </c>
      <c r="D62" s="16" t="str">
        <f>IF(C62="-","-",INDEX('0. Control Panel'!$B$6:$K$16,MATCH('3.1 Product Benefit Output'!$C62,'0. Control Panel'!$B$6:$B$16,0),MATCH(D$6,'0. Control Panel'!$B$6:$K$6,0)))</f>
        <v>Product B</v>
      </c>
      <c r="E62" s="6"/>
      <c r="F62" s="2"/>
      <c r="G62" s="24">
        <f>IFERROR(-VLOOKUP($D62,'0. Control Panel'!$C$7:$F$16,4,FALSE)*(('3. Product Benefit Input'!$F62+'3. Product Benefit Input'!H62)*'3. Product Benefit Input'!$L62)+(VLOOKUP($D62,'0. Control Panel'!$C$7:$F$16,4,FALSE)*('3. Product Benefit Input'!$F62*'3. Product Benefit Input'!$L62)),0)</f>
        <v>320000</v>
      </c>
      <c r="H62" s="24">
        <f>IFERROR(-VLOOKUP($D62,'0. Control Panel'!$C$7:$F$16,4,FALSE)*(('3. Product Benefit Input'!$F62+'3. Product Benefit Input'!I62)*'3. Product Benefit Input'!$L62)+(VLOOKUP($D62,'0. Control Panel'!$C$7:$F$16,4,FALSE)*('3. Product Benefit Input'!$F62*'3. Product Benefit Input'!$L62)),0)</f>
        <v>640000</v>
      </c>
      <c r="I62" s="24">
        <f>IFERROR(-VLOOKUP($D62,'0. Control Panel'!$C$7:$F$16,4,FALSE)*(('3. Product Benefit Input'!$F62+'3. Product Benefit Input'!J62)*'3. Product Benefit Input'!$L62)+(VLOOKUP($D62,'0. Control Panel'!$C$7:$F$16,4,FALSE)*('3. Product Benefit Input'!$F62*'3. Product Benefit Input'!$L62)),0)</f>
        <v>1984000.0000000005</v>
      </c>
      <c r="K62" s="24">
        <f>IFERROR((VLOOKUP($D62,'0. Control Panel'!$C$7:$F$16,4,FALSE)*('3. Product Benefit Input'!$F62+'3. Product Benefit Input'!H62)*'3. Product Benefit Input'!$L62)-(VLOOKUP($D62,'0. Control Panel'!$C$7:$F$16,4,FALSE)*('3. Product Benefit Input'!$F62+'3. Product Benefit Input'!H62)*'3. Product Benefit Input'!N62),0)</f>
        <v>0</v>
      </c>
      <c r="L62" s="24">
        <f>IFERROR((VLOOKUP($D62,'0. Control Panel'!$C$7:$F$16,4,FALSE)*('3. Product Benefit Input'!$F62+'3. Product Benefit Input'!I62)*'3. Product Benefit Input'!$L62)-(VLOOKUP($D62,'0. Control Panel'!$C$7:$F$16,4,FALSE)*('3. Product Benefit Input'!$F62+'3. Product Benefit Input'!I62)*'3. Product Benefit Input'!O62),0)</f>
        <v>0</v>
      </c>
      <c r="M62" s="24">
        <f>IFERROR((VLOOKUP($D62,'0. Control Panel'!$C$7:$F$16,4,FALSE)*('3. Product Benefit Input'!$F62+'3. Product Benefit Input'!J62)*'3. Product Benefit Input'!$L62)-(VLOOKUP($D62,'0. Control Panel'!$C$7:$F$16,4,FALSE)*('3. Product Benefit Input'!$F62+'3. Product Benefit Input'!J62)*'3. Product Benefit Input'!P62),0)</f>
        <v>0</v>
      </c>
      <c r="O62" s="24">
        <f>'3. Product Benefit Input'!T62</f>
        <v>0</v>
      </c>
      <c r="P62" s="24">
        <f>'3. Product Benefit Input'!U62</f>
        <v>0</v>
      </c>
      <c r="Q62" s="24">
        <f>'3. Product Benefit Input'!V62</f>
        <v>0</v>
      </c>
      <c r="S62" s="24">
        <f t="shared" si="59"/>
        <v>320000</v>
      </c>
      <c r="T62" s="24">
        <f t="shared" si="56"/>
        <v>640000</v>
      </c>
      <c r="U62" s="24">
        <f t="shared" si="57"/>
        <v>1984000.0000000005</v>
      </c>
    </row>
    <row r="63" spans="1:21" x14ac:dyDescent="0.25">
      <c r="A63" t="str">
        <f t="shared" si="58"/>
        <v>R&amp;DP5</v>
      </c>
      <c r="C63" s="6">
        <f>IF(C62="-","-",IF(C62+1&gt;COUNTA('0. Control Panel'!$C$7:$C$16),"-",C62+1))</f>
        <v>5</v>
      </c>
      <c r="D63" s="16" t="str">
        <f>IF(C63="-","-",INDEX('0. Control Panel'!$B$6:$K$16,MATCH('3.1 Product Benefit Output'!$C63,'0. Control Panel'!$B$6:$B$16,0),MATCH(D$6,'0. Control Panel'!$B$6:$K$6,0)))</f>
        <v>R&amp;D</v>
      </c>
      <c r="E63" s="6"/>
      <c r="F63" s="2"/>
      <c r="G63" s="24">
        <f>IFERROR(-VLOOKUP($D63,'0. Control Panel'!$C$7:$F$16,4,FALSE)*(('3. Product Benefit Input'!$F63+'3. Product Benefit Input'!H63)*'3. Product Benefit Input'!$L63)+(VLOOKUP($D63,'0. Control Panel'!$C$7:$F$16,4,FALSE)*('3. Product Benefit Input'!$F63*'3. Product Benefit Input'!$L63)),0)</f>
        <v>0</v>
      </c>
      <c r="H63" s="24">
        <f>IFERROR(-VLOOKUP($D63,'0. Control Panel'!$C$7:$F$16,4,FALSE)*(('3. Product Benefit Input'!$F63+'3. Product Benefit Input'!I63)*'3. Product Benefit Input'!$L63)+(VLOOKUP($D63,'0. Control Panel'!$C$7:$F$16,4,FALSE)*('3. Product Benefit Input'!$F63*'3. Product Benefit Input'!$L63)),0)</f>
        <v>0</v>
      </c>
      <c r="I63" s="24">
        <f>IFERROR(-VLOOKUP($D63,'0. Control Panel'!$C$7:$F$16,4,FALSE)*(('3. Product Benefit Input'!$F63+'3. Product Benefit Input'!J63)*'3. Product Benefit Input'!$L63)+(VLOOKUP($D63,'0. Control Panel'!$C$7:$F$16,4,FALSE)*('3. Product Benefit Input'!$F63*'3. Product Benefit Input'!$L63)),0)</f>
        <v>0</v>
      </c>
      <c r="K63" s="24">
        <f>IFERROR((VLOOKUP($D63,'0. Control Panel'!$C$7:$F$16,4,FALSE)*('3. Product Benefit Input'!$F63+'3. Product Benefit Input'!H63)*'3. Product Benefit Input'!$L63)-(VLOOKUP($D63,'0. Control Panel'!$C$7:$F$16,4,FALSE)*('3. Product Benefit Input'!$F63+'3. Product Benefit Input'!H63)*'3. Product Benefit Input'!N63),0)</f>
        <v>0</v>
      </c>
      <c r="L63" s="24">
        <f>IFERROR((VLOOKUP($D63,'0. Control Panel'!$C$7:$F$16,4,FALSE)*('3. Product Benefit Input'!$F63+'3. Product Benefit Input'!I63)*'3. Product Benefit Input'!$L63)-(VLOOKUP($D63,'0. Control Panel'!$C$7:$F$16,4,FALSE)*('3. Product Benefit Input'!$F63+'3. Product Benefit Input'!I63)*'3. Product Benefit Input'!O63),0)</f>
        <v>0</v>
      </c>
      <c r="M63" s="24">
        <f>IFERROR((VLOOKUP($D63,'0. Control Panel'!$C$7:$F$16,4,FALSE)*('3. Product Benefit Input'!$F63+'3. Product Benefit Input'!J63)*'3. Product Benefit Input'!$L63)-(VLOOKUP($D63,'0. Control Panel'!$C$7:$F$16,4,FALSE)*('3. Product Benefit Input'!$F63+'3. Product Benefit Input'!J63)*'3. Product Benefit Input'!P63),0)</f>
        <v>0</v>
      </c>
      <c r="O63" s="24">
        <f>'3. Product Benefit Input'!T63</f>
        <v>0</v>
      </c>
      <c r="P63" s="24">
        <f>'3. Product Benefit Input'!U63</f>
        <v>0</v>
      </c>
      <c r="Q63" s="24">
        <f>'3. Product Benefit Input'!V63</f>
        <v>0</v>
      </c>
      <c r="S63" s="24">
        <f t="shared" si="59"/>
        <v>0</v>
      </c>
      <c r="T63" s="24">
        <f t="shared" si="56"/>
        <v>0</v>
      </c>
      <c r="U63" s="24">
        <f t="shared" si="57"/>
        <v>0</v>
      </c>
    </row>
    <row r="64" spans="1:21" x14ac:dyDescent="0.25">
      <c r="A64" t="str">
        <f t="shared" si="58"/>
        <v>HRP5</v>
      </c>
      <c r="C64" s="6">
        <f>IF(C63="-","-",IF(C63+1&gt;COUNTA('0. Control Panel'!$C$7:$C$16),"-",C63+1))</f>
        <v>6</v>
      </c>
      <c r="D64" s="16" t="str">
        <f>IF(C64="-","-",INDEX('0. Control Panel'!$B$6:$K$16,MATCH('3.1 Product Benefit Output'!$C64,'0. Control Panel'!$B$6:$B$16,0),MATCH(D$6,'0. Control Panel'!$B$6:$K$6,0)))</f>
        <v>HR</v>
      </c>
      <c r="E64" s="6"/>
      <c r="F64" s="2"/>
      <c r="G64" s="24">
        <f>IFERROR(-VLOOKUP($D64,'0. Control Panel'!$C$7:$F$16,4,FALSE)*(('3. Product Benefit Input'!$F64+'3. Product Benefit Input'!H64)*'3. Product Benefit Input'!$L64)+(VLOOKUP($D64,'0. Control Panel'!$C$7:$F$16,4,FALSE)*('3. Product Benefit Input'!$F64*'3. Product Benefit Input'!$L64)),0)</f>
        <v>0</v>
      </c>
      <c r="H64" s="24">
        <f>IFERROR(-VLOOKUP($D64,'0. Control Panel'!$C$7:$F$16,4,FALSE)*(('3. Product Benefit Input'!$F64+'3. Product Benefit Input'!I64)*'3. Product Benefit Input'!$L64)+(VLOOKUP($D64,'0. Control Panel'!$C$7:$F$16,4,FALSE)*('3. Product Benefit Input'!$F64*'3. Product Benefit Input'!$L64)),0)</f>
        <v>0</v>
      </c>
      <c r="I64" s="24">
        <f>IFERROR(-VLOOKUP($D64,'0. Control Panel'!$C$7:$F$16,4,FALSE)*(('3. Product Benefit Input'!$F64+'3. Product Benefit Input'!J64)*'3. Product Benefit Input'!$L64)+(VLOOKUP($D64,'0. Control Panel'!$C$7:$F$16,4,FALSE)*('3. Product Benefit Input'!$F64*'3. Product Benefit Input'!$L64)),0)</f>
        <v>0</v>
      </c>
      <c r="K64" s="24">
        <f>IFERROR((VLOOKUP($D64,'0. Control Panel'!$C$7:$F$16,4,FALSE)*('3. Product Benefit Input'!$F64+'3. Product Benefit Input'!H64)*'3. Product Benefit Input'!$L64)-(VLOOKUP($D64,'0. Control Panel'!$C$7:$F$16,4,FALSE)*('3. Product Benefit Input'!$F64+'3. Product Benefit Input'!H64)*'3. Product Benefit Input'!N64),0)</f>
        <v>0</v>
      </c>
      <c r="L64" s="24">
        <f>IFERROR((VLOOKUP($D64,'0. Control Panel'!$C$7:$F$16,4,FALSE)*('3. Product Benefit Input'!$F64+'3. Product Benefit Input'!I64)*'3. Product Benefit Input'!$L64)-(VLOOKUP($D64,'0. Control Panel'!$C$7:$F$16,4,FALSE)*('3. Product Benefit Input'!$F64+'3. Product Benefit Input'!I64)*'3. Product Benefit Input'!O64),0)</f>
        <v>0</v>
      </c>
      <c r="M64" s="24">
        <f>IFERROR((VLOOKUP($D64,'0. Control Panel'!$C$7:$F$16,4,FALSE)*('3. Product Benefit Input'!$F64+'3. Product Benefit Input'!J64)*'3. Product Benefit Input'!$L64)-(VLOOKUP($D64,'0. Control Panel'!$C$7:$F$16,4,FALSE)*('3. Product Benefit Input'!$F64+'3. Product Benefit Input'!J64)*'3. Product Benefit Input'!P64),0)</f>
        <v>0</v>
      </c>
      <c r="O64" s="24">
        <f>'3. Product Benefit Input'!T64</f>
        <v>0</v>
      </c>
      <c r="P64" s="24">
        <f>'3. Product Benefit Input'!U64</f>
        <v>0</v>
      </c>
      <c r="Q64" s="24">
        <f>'3. Product Benefit Input'!V64</f>
        <v>0</v>
      </c>
      <c r="S64" s="24">
        <f t="shared" si="59"/>
        <v>0</v>
      </c>
      <c r="T64" s="24">
        <f t="shared" si="56"/>
        <v>0</v>
      </c>
      <c r="U64" s="24">
        <f t="shared" si="57"/>
        <v>0</v>
      </c>
    </row>
    <row r="65" spans="1:21" x14ac:dyDescent="0.25">
      <c r="A65" t="str">
        <f t="shared" si="58"/>
        <v>FinanceP5</v>
      </c>
      <c r="C65" s="6">
        <f>IF(C64="-","-",IF(C64+1&gt;COUNTA('0. Control Panel'!$C$7:$C$16),"-",C64+1))</f>
        <v>7</v>
      </c>
      <c r="D65" s="16" t="str">
        <f>IF(C65="-","-",INDEX('0. Control Panel'!$B$6:$K$16,MATCH('3.1 Product Benefit Output'!$C65,'0. Control Panel'!$B$6:$B$16,0),MATCH(D$6,'0. Control Panel'!$B$6:$K$6,0)))</f>
        <v>Finance</v>
      </c>
      <c r="E65" s="6"/>
      <c r="F65" s="2"/>
      <c r="G65" s="24">
        <f>IFERROR(-VLOOKUP($D65,'0. Control Panel'!$C$7:$F$16,4,FALSE)*(('3. Product Benefit Input'!$F65+'3. Product Benefit Input'!H65)*'3. Product Benefit Input'!$L65)+(VLOOKUP($D65,'0. Control Panel'!$C$7:$F$16,4,FALSE)*('3. Product Benefit Input'!$F65*'3. Product Benefit Input'!$L65)),0)</f>
        <v>0</v>
      </c>
      <c r="H65" s="24">
        <f>IFERROR(-VLOOKUP($D65,'0. Control Panel'!$C$7:$F$16,4,FALSE)*(('3. Product Benefit Input'!$F65+'3. Product Benefit Input'!I65)*'3. Product Benefit Input'!$L65)+(VLOOKUP($D65,'0. Control Panel'!$C$7:$F$16,4,FALSE)*('3. Product Benefit Input'!$F65*'3. Product Benefit Input'!$L65)),0)</f>
        <v>0</v>
      </c>
      <c r="I65" s="24">
        <f>IFERROR(-VLOOKUP($D65,'0. Control Panel'!$C$7:$F$16,4,FALSE)*(('3. Product Benefit Input'!$F65+'3. Product Benefit Input'!J65)*'3. Product Benefit Input'!$L65)+(VLOOKUP($D65,'0. Control Panel'!$C$7:$F$16,4,FALSE)*('3. Product Benefit Input'!$F65*'3. Product Benefit Input'!$L65)),0)</f>
        <v>0</v>
      </c>
      <c r="K65" s="24">
        <f>IFERROR((VLOOKUP($D65,'0. Control Panel'!$C$7:$F$16,4,FALSE)*('3. Product Benefit Input'!$F65+'3. Product Benefit Input'!H65)*'3. Product Benefit Input'!$L65)-(VLOOKUP($D65,'0. Control Panel'!$C$7:$F$16,4,FALSE)*('3. Product Benefit Input'!$F65+'3. Product Benefit Input'!H65)*'3. Product Benefit Input'!N65),0)</f>
        <v>0</v>
      </c>
      <c r="L65" s="24">
        <f>IFERROR((VLOOKUP($D65,'0. Control Panel'!$C$7:$F$16,4,FALSE)*('3. Product Benefit Input'!$F65+'3. Product Benefit Input'!I65)*'3. Product Benefit Input'!$L65)-(VLOOKUP($D65,'0. Control Panel'!$C$7:$F$16,4,FALSE)*('3. Product Benefit Input'!$F65+'3. Product Benefit Input'!I65)*'3. Product Benefit Input'!O65),0)</f>
        <v>0</v>
      </c>
      <c r="M65" s="24">
        <f>IFERROR((VLOOKUP($D65,'0. Control Panel'!$C$7:$F$16,4,FALSE)*('3. Product Benefit Input'!$F65+'3. Product Benefit Input'!J65)*'3. Product Benefit Input'!$L65)-(VLOOKUP($D65,'0. Control Panel'!$C$7:$F$16,4,FALSE)*('3. Product Benefit Input'!$F65+'3. Product Benefit Input'!J65)*'3. Product Benefit Input'!P65),0)</f>
        <v>0</v>
      </c>
      <c r="O65" s="24">
        <f>'3. Product Benefit Input'!T65</f>
        <v>0</v>
      </c>
      <c r="P65" s="24">
        <f>'3. Product Benefit Input'!U65</f>
        <v>0</v>
      </c>
      <c r="Q65" s="24">
        <f>'3. Product Benefit Input'!V65</f>
        <v>0</v>
      </c>
      <c r="S65" s="24">
        <f t="shared" si="59"/>
        <v>0</v>
      </c>
      <c r="T65" s="24">
        <f t="shared" si="56"/>
        <v>0</v>
      </c>
      <c r="U65" s="24">
        <f t="shared" si="57"/>
        <v>0</v>
      </c>
    </row>
    <row r="66" spans="1:21" x14ac:dyDescent="0.25">
      <c r="A66" t="str">
        <f t="shared" si="58"/>
        <v>Head OfficeP5</v>
      </c>
      <c r="C66" s="6">
        <f>IF(C65="-","-",IF(C65+1&gt;COUNTA('0. Control Panel'!$C$7:$C$16),"-",C65+1))</f>
        <v>8</v>
      </c>
      <c r="D66" s="16" t="str">
        <f>IF(C66="-","-",INDEX('0. Control Panel'!$B$6:$K$16,MATCH('3.1 Product Benefit Output'!$C66,'0. Control Panel'!$B$6:$B$16,0),MATCH(D$6,'0. Control Panel'!$B$6:$K$6,0)))</f>
        <v>Head Office</v>
      </c>
      <c r="E66" s="6"/>
      <c r="F66" s="2"/>
      <c r="G66" s="24">
        <f>IFERROR(-VLOOKUP($D66,'0. Control Panel'!$C$7:$F$16,4,FALSE)*(('3. Product Benefit Input'!$F66+'3. Product Benefit Input'!H66)*'3. Product Benefit Input'!$L66)+(VLOOKUP($D66,'0. Control Panel'!$C$7:$F$16,4,FALSE)*('3. Product Benefit Input'!$F66*'3. Product Benefit Input'!$L66)),0)</f>
        <v>0</v>
      </c>
      <c r="H66" s="24">
        <f>IFERROR(-VLOOKUP($D66,'0. Control Panel'!$C$7:$F$16,4,FALSE)*(('3. Product Benefit Input'!$F66+'3. Product Benefit Input'!I66)*'3. Product Benefit Input'!$L66)+(VLOOKUP($D66,'0. Control Panel'!$C$7:$F$16,4,FALSE)*('3. Product Benefit Input'!$F66*'3. Product Benefit Input'!$L66)),0)</f>
        <v>0</v>
      </c>
      <c r="I66" s="24">
        <f>IFERROR(-VLOOKUP($D66,'0. Control Panel'!$C$7:$F$16,4,FALSE)*(('3. Product Benefit Input'!$F66+'3. Product Benefit Input'!J66)*'3. Product Benefit Input'!$L66)+(VLOOKUP($D66,'0. Control Panel'!$C$7:$F$16,4,FALSE)*('3. Product Benefit Input'!$F66*'3. Product Benefit Input'!$L66)),0)</f>
        <v>0</v>
      </c>
      <c r="K66" s="24">
        <f>IFERROR((VLOOKUP($D66,'0. Control Panel'!$C$7:$F$16,4,FALSE)*('3. Product Benefit Input'!$F66+'3. Product Benefit Input'!H66)*'3. Product Benefit Input'!$L66)-(VLOOKUP($D66,'0. Control Panel'!$C$7:$F$16,4,FALSE)*('3. Product Benefit Input'!$F66+'3. Product Benefit Input'!H66)*'3. Product Benefit Input'!N66),0)</f>
        <v>0</v>
      </c>
      <c r="L66" s="24">
        <f>IFERROR((VLOOKUP($D66,'0. Control Panel'!$C$7:$F$16,4,FALSE)*('3. Product Benefit Input'!$F66+'3. Product Benefit Input'!I66)*'3. Product Benefit Input'!$L66)-(VLOOKUP($D66,'0. Control Panel'!$C$7:$F$16,4,FALSE)*('3. Product Benefit Input'!$F66+'3. Product Benefit Input'!I66)*'3. Product Benefit Input'!O66),0)</f>
        <v>0</v>
      </c>
      <c r="M66" s="24">
        <f>IFERROR((VLOOKUP($D66,'0. Control Panel'!$C$7:$F$16,4,FALSE)*('3. Product Benefit Input'!$F66+'3. Product Benefit Input'!J66)*'3. Product Benefit Input'!$L66)-(VLOOKUP($D66,'0. Control Panel'!$C$7:$F$16,4,FALSE)*('3. Product Benefit Input'!$F66+'3. Product Benefit Input'!J66)*'3. Product Benefit Input'!P66),0)</f>
        <v>0</v>
      </c>
      <c r="O66" s="24">
        <f>'3. Product Benefit Input'!T66</f>
        <v>0</v>
      </c>
      <c r="P66" s="24">
        <f>'3. Product Benefit Input'!U66</f>
        <v>0</v>
      </c>
      <c r="Q66" s="24">
        <f>'3. Product Benefit Input'!V66</f>
        <v>0</v>
      </c>
      <c r="S66" s="24">
        <f t="shared" si="59"/>
        <v>0</v>
      </c>
      <c r="T66" s="24">
        <f t="shared" si="56"/>
        <v>0</v>
      </c>
      <c r="U66" s="24">
        <f t="shared" si="57"/>
        <v>0</v>
      </c>
    </row>
    <row r="67" spans="1:21" x14ac:dyDescent="0.25">
      <c r="A67" t="str">
        <f t="shared" si="58"/>
        <v>-P5</v>
      </c>
      <c r="C67" s="6" t="str">
        <f>IF(C66="-","-",IF(C66+1&gt;COUNTA('0. Control Panel'!$C$7:$C$16),"-",C66+1))</f>
        <v>-</v>
      </c>
      <c r="D67" s="16" t="str">
        <f>IF(C67="-","-",INDEX('0. Control Panel'!$B$6:$K$16,MATCH('3.1 Product Benefit Output'!$C67,'0. Control Panel'!$B$6:$B$16,0),MATCH(D$6,'0. Control Panel'!$B$6:$K$6,0)))</f>
        <v>-</v>
      </c>
      <c r="E67" s="6"/>
      <c r="F67" s="2"/>
      <c r="G67" s="24">
        <f>IFERROR(-VLOOKUP($D67,'0. Control Panel'!$C$7:$F$16,4,FALSE)*(('3. Product Benefit Input'!$F67+'3. Product Benefit Input'!H67)*'3. Product Benefit Input'!$L67)+(VLOOKUP($D67,'0. Control Panel'!$C$7:$F$16,4,FALSE)*('3. Product Benefit Input'!$F67*'3. Product Benefit Input'!$L67)),0)</f>
        <v>0</v>
      </c>
      <c r="H67" s="24">
        <f>IFERROR(-VLOOKUP($D67,'0. Control Panel'!$C$7:$F$16,4,FALSE)*(('3. Product Benefit Input'!$F67+'3. Product Benefit Input'!I67)*'3. Product Benefit Input'!$L67)+(VLOOKUP($D67,'0. Control Panel'!$C$7:$F$16,4,FALSE)*('3. Product Benefit Input'!$F67*'3. Product Benefit Input'!$L67)),0)</f>
        <v>0</v>
      </c>
      <c r="I67" s="24">
        <f>IFERROR(-VLOOKUP($D67,'0. Control Panel'!$C$7:$F$16,4,FALSE)*(('3. Product Benefit Input'!$F67+'3. Product Benefit Input'!J67)*'3. Product Benefit Input'!$L67)+(VLOOKUP($D67,'0. Control Panel'!$C$7:$F$16,4,FALSE)*('3. Product Benefit Input'!$F67*'3. Product Benefit Input'!$L67)),0)</f>
        <v>0</v>
      </c>
      <c r="K67" s="24">
        <f>IFERROR((VLOOKUP($D67,'0. Control Panel'!$C$7:$F$16,4,FALSE)*('3. Product Benefit Input'!$F67+'3. Product Benefit Input'!H67)*'3. Product Benefit Input'!$L67)-(VLOOKUP($D67,'0. Control Panel'!$C$7:$F$16,4,FALSE)*('3. Product Benefit Input'!$F67+'3. Product Benefit Input'!H67)*'3. Product Benefit Input'!N67),0)</f>
        <v>0</v>
      </c>
      <c r="L67" s="24">
        <f>IFERROR((VLOOKUP($D67,'0. Control Panel'!$C$7:$F$16,4,FALSE)*('3. Product Benefit Input'!$F67+'3. Product Benefit Input'!I67)*'3. Product Benefit Input'!$L67)-(VLOOKUP($D67,'0. Control Panel'!$C$7:$F$16,4,FALSE)*('3. Product Benefit Input'!$F67+'3. Product Benefit Input'!I67)*'3. Product Benefit Input'!O67),0)</f>
        <v>0</v>
      </c>
      <c r="M67" s="24">
        <f>IFERROR((VLOOKUP($D67,'0. Control Panel'!$C$7:$F$16,4,FALSE)*('3. Product Benefit Input'!$F67+'3. Product Benefit Input'!J67)*'3. Product Benefit Input'!$L67)-(VLOOKUP($D67,'0. Control Panel'!$C$7:$F$16,4,FALSE)*('3. Product Benefit Input'!$F67+'3. Product Benefit Input'!J67)*'3. Product Benefit Input'!P67),0)</f>
        <v>0</v>
      </c>
      <c r="O67" s="24">
        <f>'3. Product Benefit Input'!T67</f>
        <v>0</v>
      </c>
      <c r="P67" s="24">
        <f>'3. Product Benefit Input'!U67</f>
        <v>0</v>
      </c>
      <c r="Q67" s="24">
        <f>'3. Product Benefit Input'!V67</f>
        <v>0</v>
      </c>
      <c r="S67" s="24">
        <f t="shared" si="59"/>
        <v>0</v>
      </c>
      <c r="T67" s="24">
        <f t="shared" si="56"/>
        <v>0</v>
      </c>
      <c r="U67" s="24">
        <f t="shared" si="57"/>
        <v>0</v>
      </c>
    </row>
    <row r="68" spans="1:21" x14ac:dyDescent="0.25">
      <c r="A68" t="str">
        <f t="shared" si="58"/>
        <v>-P5</v>
      </c>
      <c r="C68" s="7" t="str">
        <f>IF(C67="-","-",IF(C67+1&gt;COUNTA('0. Control Panel'!$C$7:$C$16),"-",C67+1))</f>
        <v>-</v>
      </c>
      <c r="D68" s="17" t="str">
        <f>IF(C68="-","-",INDEX('0. Control Panel'!$B$6:$K$16,MATCH('3.1 Product Benefit Output'!$C68,'0. Control Panel'!$B$6:$B$16,0),MATCH(D$6,'0. Control Panel'!$B$6:$K$6,0)))</f>
        <v>-</v>
      </c>
      <c r="E68" s="7"/>
      <c r="F68" s="2"/>
      <c r="G68" s="24">
        <f>IFERROR(-VLOOKUP($D68,'0. Control Panel'!$C$7:$F$16,4,FALSE)*(('3. Product Benefit Input'!$F68+'3. Product Benefit Input'!H68)*'3. Product Benefit Input'!$L68)+(VLOOKUP($D68,'0. Control Panel'!$C$7:$F$16,4,FALSE)*('3. Product Benefit Input'!$F68*'3. Product Benefit Input'!$L68)),0)</f>
        <v>0</v>
      </c>
      <c r="H68" s="24">
        <f>IFERROR(-VLOOKUP($D68,'0. Control Panel'!$C$7:$F$16,4,FALSE)*(('3. Product Benefit Input'!$F68+'3. Product Benefit Input'!I68)*'3. Product Benefit Input'!$L68)+(VLOOKUP($D68,'0. Control Panel'!$C$7:$F$16,4,FALSE)*('3. Product Benefit Input'!$F68*'3. Product Benefit Input'!$L68)),0)</f>
        <v>0</v>
      </c>
      <c r="I68" s="24">
        <f>IFERROR(-VLOOKUP($D68,'0. Control Panel'!$C$7:$F$16,4,FALSE)*(('3. Product Benefit Input'!$F68+'3. Product Benefit Input'!J68)*'3. Product Benefit Input'!$L68)+(VLOOKUP($D68,'0. Control Panel'!$C$7:$F$16,4,FALSE)*('3. Product Benefit Input'!$F68*'3. Product Benefit Input'!$L68)),0)</f>
        <v>0</v>
      </c>
      <c r="K68" s="24">
        <f>IFERROR((VLOOKUP($D68,'0. Control Panel'!$C$7:$F$16,4,FALSE)*('3. Product Benefit Input'!$F68+'3. Product Benefit Input'!H68)*'3. Product Benefit Input'!$L68)-(VLOOKUP($D68,'0. Control Panel'!$C$7:$F$16,4,FALSE)*('3. Product Benefit Input'!$F68+'3. Product Benefit Input'!H68)*'3. Product Benefit Input'!N68),0)</f>
        <v>0</v>
      </c>
      <c r="L68" s="24">
        <f>IFERROR((VLOOKUP($D68,'0. Control Panel'!$C$7:$F$16,4,FALSE)*('3. Product Benefit Input'!$F68+'3. Product Benefit Input'!I68)*'3. Product Benefit Input'!$L68)-(VLOOKUP($D68,'0. Control Panel'!$C$7:$F$16,4,FALSE)*('3. Product Benefit Input'!$F68+'3. Product Benefit Input'!I68)*'3. Product Benefit Input'!O68),0)</f>
        <v>0</v>
      </c>
      <c r="M68" s="24">
        <f>IFERROR((VLOOKUP($D68,'0. Control Panel'!$C$7:$F$16,4,FALSE)*('3. Product Benefit Input'!$F68+'3. Product Benefit Input'!J68)*'3. Product Benefit Input'!$L68)-(VLOOKUP($D68,'0. Control Panel'!$C$7:$F$16,4,FALSE)*('3. Product Benefit Input'!$F68+'3. Product Benefit Input'!J68)*'3. Product Benefit Input'!P68),0)</f>
        <v>0</v>
      </c>
      <c r="O68" s="24">
        <f>'3. Product Benefit Input'!T68</f>
        <v>0</v>
      </c>
      <c r="P68" s="24">
        <f>'3. Product Benefit Input'!U68</f>
        <v>0</v>
      </c>
      <c r="Q68" s="24">
        <f>'3. Product Benefit Input'!V68</f>
        <v>0</v>
      </c>
      <c r="S68" s="24">
        <f t="shared" si="59"/>
        <v>0</v>
      </c>
      <c r="T68" s="24">
        <f t="shared" si="56"/>
        <v>0</v>
      </c>
      <c r="U68" s="24">
        <f t="shared" si="57"/>
        <v>0</v>
      </c>
    </row>
    <row r="69" spans="1:21" ht="16.5" thickBot="1" x14ac:dyDescent="0.3">
      <c r="A69" s="22" t="str">
        <f>D69&amp;$C$58</f>
        <v>All Departments/FunctionsP5</v>
      </c>
      <c r="B69" s="22"/>
      <c r="C69" s="23"/>
      <c r="D69" s="27" t="str">
        <f>D56</f>
        <v>All Departments/Functions</v>
      </c>
      <c r="E69" s="23"/>
      <c r="F69" s="23"/>
      <c r="G69" s="28">
        <f>SUM(G59:G68)</f>
        <v>588000</v>
      </c>
      <c r="H69" s="28">
        <f t="shared" ref="H69" si="60">SUM(H59:H68)</f>
        <v>1176000</v>
      </c>
      <c r="I69" s="28">
        <f t="shared" ref="I69" si="61">SUM(I59:I68)</f>
        <v>3324000.0000000005</v>
      </c>
      <c r="J69" s="23"/>
      <c r="K69" s="28">
        <f>SUM(K59:K68)</f>
        <v>0</v>
      </c>
      <c r="L69" s="28">
        <f t="shared" ref="L69" si="62">SUM(L59:L68)</f>
        <v>0</v>
      </c>
      <c r="M69" s="28">
        <f t="shared" ref="M69" si="63">SUM(M59:M68)</f>
        <v>0</v>
      </c>
      <c r="N69" s="29"/>
      <c r="O69" s="28">
        <f t="shared" ref="O69" si="64">SUM(O59:O68)</f>
        <v>0</v>
      </c>
      <c r="P69" s="28">
        <f t="shared" ref="P69" si="65">SUM(P59:P68)</f>
        <v>0</v>
      </c>
      <c r="Q69" s="28">
        <f t="shared" ref="Q69" si="66">SUM(Q59:Q68)</f>
        <v>0</v>
      </c>
      <c r="R69" s="29"/>
      <c r="S69" s="28">
        <f t="shared" ref="S69" si="67">SUM(S59:S68)</f>
        <v>588000</v>
      </c>
      <c r="T69" s="28">
        <f t="shared" ref="T69" si="68">SUM(T59:T68)</f>
        <v>1176000</v>
      </c>
      <c r="U69" s="28">
        <f t="shared" ref="U69" si="69">SUM(U59:U68)</f>
        <v>3324000.0000000005</v>
      </c>
    </row>
    <row r="70" spans="1:21" ht="16.5" thickTop="1" x14ac:dyDescent="0.25"/>
    <row r="71" spans="1:21" ht="15.95" customHeight="1" x14ac:dyDescent="0.25">
      <c r="C71" s="12" t="s">
        <v>27</v>
      </c>
      <c r="D71" s="30" t="str">
        <f>IF(INDEX('0. Control Panel'!$B$31:$C$41,MATCH('3.1 Product Benefit Output'!$C71,'0. Control Panel'!$B$31:$B$41,0),2)="","n/a",INDEX('0. Control Panel'!$B$31:$C$41,MATCH('3.1 Product Benefit Output'!$C71,'0. Control Panel'!$B$31:$B$41,0),2))</f>
        <v>Reduced Credit Risk Costs</v>
      </c>
      <c r="G71"/>
      <c r="H71"/>
      <c r="I71"/>
      <c r="J71"/>
      <c r="K71"/>
      <c r="L71"/>
      <c r="M71"/>
      <c r="N71"/>
      <c r="O71"/>
      <c r="P71"/>
      <c r="Q71"/>
      <c r="R71"/>
      <c r="S71"/>
      <c r="T71"/>
      <c r="U71"/>
    </row>
    <row r="72" spans="1:21" x14ac:dyDescent="0.25">
      <c r="A72" t="str">
        <f>D72&amp;$C$71</f>
        <v>ITP6</v>
      </c>
      <c r="C72" s="5">
        <v>1</v>
      </c>
      <c r="D72" s="15" t="str">
        <f>IF(C72="-","-",INDEX('0. Control Panel'!$B$6:$K$16,MATCH('3.1 Product Benefit Output'!$C72,'0. Control Panel'!$B$6:$B$16,0),MATCH(D$6,'0. Control Panel'!$B$6:$K$6,0)))</f>
        <v>IT</v>
      </c>
      <c r="E72" s="5"/>
      <c r="F72" s="2"/>
      <c r="G72" s="24">
        <f>IFERROR(-VLOOKUP($D72,'0. Control Panel'!$C$7:$F$16,4,FALSE)*(('3. Product Benefit Input'!$F72+'3. Product Benefit Input'!H72)*'3. Product Benefit Input'!$L72)+(VLOOKUP($D72,'0. Control Panel'!$C$7:$F$16,4,FALSE)*('3. Product Benefit Input'!$F72*'3. Product Benefit Input'!$L72)),0)</f>
        <v>0</v>
      </c>
      <c r="H72" s="24">
        <f>IFERROR(-VLOOKUP($D72,'0. Control Panel'!$C$7:$F$16,4,FALSE)*(('3. Product Benefit Input'!$F72+'3. Product Benefit Input'!I72)*'3. Product Benefit Input'!$L72)+(VLOOKUP($D72,'0. Control Panel'!$C$7:$F$16,4,FALSE)*('3. Product Benefit Input'!$F72*'3. Product Benefit Input'!$L72)),0)</f>
        <v>0</v>
      </c>
      <c r="I72" s="24">
        <f>IFERROR(-VLOOKUP($D72,'0. Control Panel'!$C$7:$F$16,4,FALSE)*(('3. Product Benefit Input'!$F72+'3. Product Benefit Input'!J72)*'3. Product Benefit Input'!$L72)+(VLOOKUP($D72,'0. Control Panel'!$C$7:$F$16,4,FALSE)*('3. Product Benefit Input'!$F72*'3. Product Benefit Input'!$L72)),0)</f>
        <v>0</v>
      </c>
      <c r="K72" s="24">
        <f>IFERROR((VLOOKUP($D72,'0. Control Panel'!$C$7:$F$16,4,FALSE)*('3. Product Benefit Input'!$F72+'3. Product Benefit Input'!H72)*'3. Product Benefit Input'!$L72)-(VLOOKUP($D72,'0. Control Panel'!$C$7:$F$16,4,FALSE)*('3. Product Benefit Input'!$F72+'3. Product Benefit Input'!H72)*'3. Product Benefit Input'!N72),0)</f>
        <v>0</v>
      </c>
      <c r="L72" s="24">
        <f>IFERROR((VLOOKUP($D72,'0. Control Panel'!$C$7:$F$16,4,FALSE)*('3. Product Benefit Input'!$F72+'3. Product Benefit Input'!I72)*'3. Product Benefit Input'!$L72)-(VLOOKUP($D72,'0. Control Panel'!$C$7:$F$16,4,FALSE)*('3. Product Benefit Input'!$F72+'3. Product Benefit Input'!I72)*'3. Product Benefit Input'!O72),0)</f>
        <v>0</v>
      </c>
      <c r="M72" s="24">
        <f>IFERROR((VLOOKUP($D72,'0. Control Panel'!$C$7:$F$16,4,FALSE)*('3. Product Benefit Input'!$F72+'3. Product Benefit Input'!J72)*'3. Product Benefit Input'!$L72)-(VLOOKUP($D72,'0. Control Panel'!$C$7:$F$16,4,FALSE)*('3. Product Benefit Input'!$F72+'3. Product Benefit Input'!J72)*'3. Product Benefit Input'!P72),0)</f>
        <v>0</v>
      </c>
      <c r="O72" s="24">
        <f>'3. Product Benefit Input'!T72</f>
        <v>0</v>
      </c>
      <c r="P72" s="24">
        <f>'3. Product Benefit Input'!U72</f>
        <v>0</v>
      </c>
      <c r="Q72" s="24">
        <f>'3. Product Benefit Input'!V72</f>
        <v>0</v>
      </c>
      <c r="S72" s="24">
        <f>SUM(G72,K72,O72)</f>
        <v>0</v>
      </c>
      <c r="T72" s="24">
        <f t="shared" ref="T72:T81" si="70">SUM(H72,L72,P72)</f>
        <v>0</v>
      </c>
      <c r="U72" s="24">
        <f t="shared" ref="U72:U81" si="71">SUM(I72,M72,Q72)</f>
        <v>0</v>
      </c>
    </row>
    <row r="73" spans="1:21" x14ac:dyDescent="0.25">
      <c r="A73" t="str">
        <f t="shared" ref="A73:A81" si="72">D73&amp;$C$71</f>
        <v>SalesP6</v>
      </c>
      <c r="C73" s="6">
        <f>IF(C72="-","-",IF(C72+1&gt;COUNTA('0. Control Panel'!$C$7:$C$16),"-",C72+1))</f>
        <v>2</v>
      </c>
      <c r="D73" s="16" t="str">
        <f>IF(C73="-","-",INDEX('0. Control Panel'!$B$6:$K$16,MATCH('3.1 Product Benefit Output'!$C73,'0. Control Panel'!$B$6:$B$16,0),MATCH(D$6,'0. Control Panel'!$B$6:$K$6,0)))</f>
        <v>Sales</v>
      </c>
      <c r="E73" s="6"/>
      <c r="F73" s="2"/>
      <c r="G73" s="24">
        <f>IFERROR(-VLOOKUP($D73,'0. Control Panel'!$C$7:$F$16,4,FALSE)*(('3. Product Benefit Input'!$F73+'3. Product Benefit Input'!H73)*'3. Product Benefit Input'!$L73)+(VLOOKUP($D73,'0. Control Panel'!$C$7:$F$16,4,FALSE)*('3. Product Benefit Input'!$F73*'3. Product Benefit Input'!$L73)),0)</f>
        <v>0</v>
      </c>
      <c r="H73" s="24">
        <f>IFERROR(-VLOOKUP($D73,'0. Control Panel'!$C$7:$F$16,4,FALSE)*(('3. Product Benefit Input'!$F73+'3. Product Benefit Input'!I73)*'3. Product Benefit Input'!$L73)+(VLOOKUP($D73,'0. Control Panel'!$C$7:$F$16,4,FALSE)*('3. Product Benefit Input'!$F73*'3. Product Benefit Input'!$L73)),0)</f>
        <v>0</v>
      </c>
      <c r="I73" s="24">
        <f>IFERROR(-VLOOKUP($D73,'0. Control Panel'!$C$7:$F$16,4,FALSE)*(('3. Product Benefit Input'!$F73+'3. Product Benefit Input'!J73)*'3. Product Benefit Input'!$L73)+(VLOOKUP($D73,'0. Control Panel'!$C$7:$F$16,4,FALSE)*('3. Product Benefit Input'!$F73*'3. Product Benefit Input'!$L73)),0)</f>
        <v>0</v>
      </c>
      <c r="K73" s="24">
        <f>IFERROR((VLOOKUP($D73,'0. Control Panel'!$C$7:$F$16,4,FALSE)*('3. Product Benefit Input'!$F73+'3. Product Benefit Input'!H73)*'3. Product Benefit Input'!$L73)-(VLOOKUP($D73,'0. Control Panel'!$C$7:$F$16,4,FALSE)*('3. Product Benefit Input'!$F73+'3. Product Benefit Input'!H73)*'3. Product Benefit Input'!N73),0)</f>
        <v>0</v>
      </c>
      <c r="L73" s="24">
        <f>IFERROR((VLOOKUP($D73,'0. Control Panel'!$C$7:$F$16,4,FALSE)*('3. Product Benefit Input'!$F73+'3. Product Benefit Input'!I73)*'3. Product Benefit Input'!$L73)-(VLOOKUP($D73,'0. Control Panel'!$C$7:$F$16,4,FALSE)*('3. Product Benefit Input'!$F73+'3. Product Benefit Input'!I73)*'3. Product Benefit Input'!O73),0)</f>
        <v>0</v>
      </c>
      <c r="M73" s="24">
        <f>IFERROR((VLOOKUP($D73,'0. Control Panel'!$C$7:$F$16,4,FALSE)*('3. Product Benefit Input'!$F73+'3. Product Benefit Input'!J73)*'3. Product Benefit Input'!$L73)-(VLOOKUP($D73,'0. Control Panel'!$C$7:$F$16,4,FALSE)*('3. Product Benefit Input'!$F73+'3. Product Benefit Input'!J73)*'3. Product Benefit Input'!P73),0)</f>
        <v>0</v>
      </c>
      <c r="O73" s="24">
        <f>'3. Product Benefit Input'!T73</f>
        <v>0</v>
      </c>
      <c r="P73" s="24">
        <f>'3. Product Benefit Input'!U73</f>
        <v>0</v>
      </c>
      <c r="Q73" s="24">
        <f>'3. Product Benefit Input'!V73</f>
        <v>0</v>
      </c>
      <c r="S73" s="24">
        <f t="shared" ref="S73:S81" si="73">SUM(G73,K73,O73)</f>
        <v>0</v>
      </c>
      <c r="T73" s="24">
        <f t="shared" si="70"/>
        <v>0</v>
      </c>
      <c r="U73" s="24">
        <f t="shared" si="71"/>
        <v>0</v>
      </c>
    </row>
    <row r="74" spans="1:21" x14ac:dyDescent="0.25">
      <c r="A74" t="str">
        <f t="shared" si="72"/>
        <v>Product AP6</v>
      </c>
      <c r="C74" s="6">
        <f>IF(C73="-","-",IF(C73+1&gt;COUNTA('0. Control Panel'!$C$7:$C$16),"-",C73+1))</f>
        <v>3</v>
      </c>
      <c r="D74" s="16" t="str">
        <f>IF(C74="-","-",INDEX('0. Control Panel'!$B$6:$K$16,MATCH('3.1 Product Benefit Output'!$C74,'0. Control Panel'!$B$6:$B$16,0),MATCH(D$6,'0. Control Panel'!$B$6:$K$6,0)))</f>
        <v>Product A</v>
      </c>
      <c r="E74" s="6"/>
      <c r="F74" s="2"/>
      <c r="G74" s="24">
        <f>IFERROR(-VLOOKUP($D74,'0. Control Panel'!$C$7:$F$16,4,FALSE)*(('3. Product Benefit Input'!$F74+'3. Product Benefit Input'!H74)*'3. Product Benefit Input'!$L74)+(VLOOKUP($D74,'0. Control Panel'!$C$7:$F$16,4,FALSE)*('3. Product Benefit Input'!$F74*'3. Product Benefit Input'!$L74)),0)</f>
        <v>0</v>
      </c>
      <c r="H74" s="24">
        <f>IFERROR(-VLOOKUP($D74,'0. Control Panel'!$C$7:$F$16,4,FALSE)*(('3. Product Benefit Input'!$F74+'3. Product Benefit Input'!I74)*'3. Product Benefit Input'!$L74)+(VLOOKUP($D74,'0. Control Panel'!$C$7:$F$16,4,FALSE)*('3. Product Benefit Input'!$F74*'3. Product Benefit Input'!$L74)),0)</f>
        <v>0</v>
      </c>
      <c r="I74" s="24">
        <f>IFERROR(-VLOOKUP($D74,'0. Control Panel'!$C$7:$F$16,4,FALSE)*(('3. Product Benefit Input'!$F74+'3. Product Benefit Input'!J74)*'3. Product Benefit Input'!$L74)+(VLOOKUP($D74,'0. Control Panel'!$C$7:$F$16,4,FALSE)*('3. Product Benefit Input'!$F74*'3. Product Benefit Input'!$L74)),0)</f>
        <v>0</v>
      </c>
      <c r="K74" s="24">
        <f>IFERROR((VLOOKUP($D74,'0. Control Panel'!$C$7:$F$16,4,FALSE)*('3. Product Benefit Input'!$F74+'3. Product Benefit Input'!H74)*'3. Product Benefit Input'!$L74)-(VLOOKUP($D74,'0. Control Panel'!$C$7:$F$16,4,FALSE)*('3. Product Benefit Input'!$F74+'3. Product Benefit Input'!H74)*'3. Product Benefit Input'!N74),0)</f>
        <v>0</v>
      </c>
      <c r="L74" s="24">
        <f>IFERROR((VLOOKUP($D74,'0. Control Panel'!$C$7:$F$16,4,FALSE)*('3. Product Benefit Input'!$F74+'3. Product Benefit Input'!I74)*'3. Product Benefit Input'!$L74)-(VLOOKUP($D74,'0. Control Panel'!$C$7:$F$16,4,FALSE)*('3. Product Benefit Input'!$F74+'3. Product Benefit Input'!I74)*'3. Product Benefit Input'!O74),0)</f>
        <v>0</v>
      </c>
      <c r="M74" s="24">
        <f>IFERROR((VLOOKUP($D74,'0. Control Panel'!$C$7:$F$16,4,FALSE)*('3. Product Benefit Input'!$F74+'3. Product Benefit Input'!J74)*'3. Product Benefit Input'!$L74)-(VLOOKUP($D74,'0. Control Panel'!$C$7:$F$16,4,FALSE)*('3. Product Benefit Input'!$F74+'3. Product Benefit Input'!J74)*'3. Product Benefit Input'!P74),0)</f>
        <v>0</v>
      </c>
      <c r="O74" s="24">
        <f>'3. Product Benefit Input'!T74</f>
        <v>0</v>
      </c>
      <c r="P74" s="24">
        <f>'3. Product Benefit Input'!U74</f>
        <v>0</v>
      </c>
      <c r="Q74" s="24">
        <f>'3. Product Benefit Input'!V74</f>
        <v>0</v>
      </c>
      <c r="S74" s="24">
        <f t="shared" si="73"/>
        <v>0</v>
      </c>
      <c r="T74" s="24">
        <f t="shared" si="70"/>
        <v>0</v>
      </c>
      <c r="U74" s="24">
        <f t="shared" si="71"/>
        <v>0</v>
      </c>
    </row>
    <row r="75" spans="1:21" x14ac:dyDescent="0.25">
      <c r="A75" t="str">
        <f t="shared" si="72"/>
        <v>Product BP6</v>
      </c>
      <c r="C75" s="6">
        <f>IF(C74="-","-",IF(C74+1&gt;COUNTA('0. Control Panel'!$C$7:$C$16),"-",C74+1))</f>
        <v>4</v>
      </c>
      <c r="D75" s="16" t="str">
        <f>IF(C75="-","-",INDEX('0. Control Panel'!$B$6:$K$16,MATCH('3.1 Product Benefit Output'!$C75,'0. Control Panel'!$B$6:$B$16,0),MATCH(D$6,'0. Control Panel'!$B$6:$K$6,0)))</f>
        <v>Product B</v>
      </c>
      <c r="E75" s="6"/>
      <c r="F75" s="2"/>
      <c r="G75" s="24">
        <f>IFERROR(-VLOOKUP($D75,'0. Control Panel'!$C$7:$F$16,4,FALSE)*(('3. Product Benefit Input'!$F75+'3. Product Benefit Input'!H75)*'3. Product Benefit Input'!$L75)+(VLOOKUP($D75,'0. Control Panel'!$C$7:$F$16,4,FALSE)*('3. Product Benefit Input'!$F75*'3. Product Benefit Input'!$L75)),0)</f>
        <v>0</v>
      </c>
      <c r="H75" s="24">
        <f>IFERROR(-VLOOKUP($D75,'0. Control Panel'!$C$7:$F$16,4,FALSE)*(('3. Product Benefit Input'!$F75+'3. Product Benefit Input'!I75)*'3. Product Benefit Input'!$L75)+(VLOOKUP($D75,'0. Control Panel'!$C$7:$F$16,4,FALSE)*('3. Product Benefit Input'!$F75*'3. Product Benefit Input'!$L75)),0)</f>
        <v>0</v>
      </c>
      <c r="I75" s="24">
        <f>IFERROR(-VLOOKUP($D75,'0. Control Panel'!$C$7:$F$16,4,FALSE)*(('3. Product Benefit Input'!$F75+'3. Product Benefit Input'!J75)*'3. Product Benefit Input'!$L75)+(VLOOKUP($D75,'0. Control Panel'!$C$7:$F$16,4,FALSE)*('3. Product Benefit Input'!$F75*'3. Product Benefit Input'!$L75)),0)</f>
        <v>0</v>
      </c>
      <c r="K75" s="24">
        <f>IFERROR((VLOOKUP($D75,'0. Control Panel'!$C$7:$F$16,4,FALSE)*('3. Product Benefit Input'!$F75+'3. Product Benefit Input'!H75)*'3. Product Benefit Input'!$L75)-(VLOOKUP($D75,'0. Control Panel'!$C$7:$F$16,4,FALSE)*('3. Product Benefit Input'!$F75+'3. Product Benefit Input'!H75)*'3. Product Benefit Input'!N75),0)</f>
        <v>0</v>
      </c>
      <c r="L75" s="24">
        <f>IFERROR((VLOOKUP($D75,'0. Control Panel'!$C$7:$F$16,4,FALSE)*('3. Product Benefit Input'!$F75+'3. Product Benefit Input'!I75)*'3. Product Benefit Input'!$L75)-(VLOOKUP($D75,'0. Control Panel'!$C$7:$F$16,4,FALSE)*('3. Product Benefit Input'!$F75+'3. Product Benefit Input'!I75)*'3. Product Benefit Input'!O75),0)</f>
        <v>0</v>
      </c>
      <c r="M75" s="24">
        <f>IFERROR((VLOOKUP($D75,'0. Control Panel'!$C$7:$F$16,4,FALSE)*('3. Product Benefit Input'!$F75+'3. Product Benefit Input'!J75)*'3. Product Benefit Input'!$L75)-(VLOOKUP($D75,'0. Control Panel'!$C$7:$F$16,4,FALSE)*('3. Product Benefit Input'!$F75+'3. Product Benefit Input'!J75)*'3. Product Benefit Input'!P75),0)</f>
        <v>0</v>
      </c>
      <c r="O75" s="24">
        <f>'3. Product Benefit Input'!T75</f>
        <v>0</v>
      </c>
      <c r="P75" s="24">
        <f>'3. Product Benefit Input'!U75</f>
        <v>0</v>
      </c>
      <c r="Q75" s="24">
        <f>'3. Product Benefit Input'!V75</f>
        <v>0</v>
      </c>
      <c r="S75" s="24">
        <f t="shared" si="73"/>
        <v>0</v>
      </c>
      <c r="T75" s="24">
        <f t="shared" si="70"/>
        <v>0</v>
      </c>
      <c r="U75" s="24">
        <f t="shared" si="71"/>
        <v>0</v>
      </c>
    </row>
    <row r="76" spans="1:21" x14ac:dyDescent="0.25">
      <c r="A76" t="str">
        <f t="shared" si="72"/>
        <v>R&amp;DP6</v>
      </c>
      <c r="C76" s="6">
        <f>IF(C75="-","-",IF(C75+1&gt;COUNTA('0. Control Panel'!$C$7:$C$16),"-",C75+1))</f>
        <v>5</v>
      </c>
      <c r="D76" s="16" t="str">
        <f>IF(C76="-","-",INDEX('0. Control Panel'!$B$6:$K$16,MATCH('3.1 Product Benefit Output'!$C76,'0. Control Panel'!$B$6:$B$16,0),MATCH(D$6,'0. Control Panel'!$B$6:$K$6,0)))</f>
        <v>R&amp;D</v>
      </c>
      <c r="E76" s="6"/>
      <c r="F76" s="2"/>
      <c r="G76" s="24">
        <f>IFERROR(-VLOOKUP($D76,'0. Control Panel'!$C$7:$F$16,4,FALSE)*(('3. Product Benefit Input'!$F76+'3. Product Benefit Input'!H76)*'3. Product Benefit Input'!$L76)+(VLOOKUP($D76,'0. Control Panel'!$C$7:$F$16,4,FALSE)*('3. Product Benefit Input'!$F76*'3. Product Benefit Input'!$L76)),0)</f>
        <v>0</v>
      </c>
      <c r="H76" s="24">
        <f>IFERROR(-VLOOKUP($D76,'0. Control Panel'!$C$7:$F$16,4,FALSE)*(('3. Product Benefit Input'!$F76+'3. Product Benefit Input'!I76)*'3. Product Benefit Input'!$L76)+(VLOOKUP($D76,'0. Control Panel'!$C$7:$F$16,4,FALSE)*('3. Product Benefit Input'!$F76*'3. Product Benefit Input'!$L76)),0)</f>
        <v>0</v>
      </c>
      <c r="I76" s="24">
        <f>IFERROR(-VLOOKUP($D76,'0. Control Panel'!$C$7:$F$16,4,FALSE)*(('3. Product Benefit Input'!$F76+'3. Product Benefit Input'!J76)*'3. Product Benefit Input'!$L76)+(VLOOKUP($D76,'0. Control Panel'!$C$7:$F$16,4,FALSE)*('3. Product Benefit Input'!$F76*'3. Product Benefit Input'!$L76)),0)</f>
        <v>0</v>
      </c>
      <c r="K76" s="24">
        <f>IFERROR((VLOOKUP($D76,'0. Control Panel'!$C$7:$F$16,4,FALSE)*('3. Product Benefit Input'!$F76+'3. Product Benefit Input'!H76)*'3. Product Benefit Input'!$L76)-(VLOOKUP($D76,'0. Control Panel'!$C$7:$F$16,4,FALSE)*('3. Product Benefit Input'!$F76+'3. Product Benefit Input'!H76)*'3. Product Benefit Input'!N76),0)</f>
        <v>0</v>
      </c>
      <c r="L76" s="24">
        <f>IFERROR((VLOOKUP($D76,'0. Control Panel'!$C$7:$F$16,4,FALSE)*('3. Product Benefit Input'!$F76+'3. Product Benefit Input'!I76)*'3. Product Benefit Input'!$L76)-(VLOOKUP($D76,'0. Control Panel'!$C$7:$F$16,4,FALSE)*('3. Product Benefit Input'!$F76+'3. Product Benefit Input'!I76)*'3. Product Benefit Input'!O76),0)</f>
        <v>0</v>
      </c>
      <c r="M76" s="24">
        <f>IFERROR((VLOOKUP($D76,'0. Control Panel'!$C$7:$F$16,4,FALSE)*('3. Product Benefit Input'!$F76+'3. Product Benefit Input'!J76)*'3. Product Benefit Input'!$L76)-(VLOOKUP($D76,'0. Control Panel'!$C$7:$F$16,4,FALSE)*('3. Product Benefit Input'!$F76+'3. Product Benefit Input'!J76)*'3. Product Benefit Input'!P76),0)</f>
        <v>0</v>
      </c>
      <c r="O76" s="24">
        <f>'3. Product Benefit Input'!T76</f>
        <v>0</v>
      </c>
      <c r="P76" s="24">
        <f>'3. Product Benefit Input'!U76</f>
        <v>0</v>
      </c>
      <c r="Q76" s="24">
        <f>'3. Product Benefit Input'!V76</f>
        <v>0</v>
      </c>
      <c r="S76" s="24">
        <f t="shared" si="73"/>
        <v>0</v>
      </c>
      <c r="T76" s="24">
        <f t="shared" si="70"/>
        <v>0</v>
      </c>
      <c r="U76" s="24">
        <f t="shared" si="71"/>
        <v>0</v>
      </c>
    </row>
    <row r="77" spans="1:21" x14ac:dyDescent="0.25">
      <c r="A77" t="str">
        <f t="shared" si="72"/>
        <v>HRP6</v>
      </c>
      <c r="C77" s="6">
        <f>IF(C76="-","-",IF(C76+1&gt;COUNTA('0. Control Panel'!$C$7:$C$16),"-",C76+1))</f>
        <v>6</v>
      </c>
      <c r="D77" s="16" t="str">
        <f>IF(C77="-","-",INDEX('0. Control Panel'!$B$6:$K$16,MATCH('3.1 Product Benefit Output'!$C77,'0. Control Panel'!$B$6:$B$16,0),MATCH(D$6,'0. Control Panel'!$B$6:$K$6,0)))</f>
        <v>HR</v>
      </c>
      <c r="E77" s="6"/>
      <c r="F77" s="2"/>
      <c r="G77" s="24">
        <f>IFERROR(-VLOOKUP($D77,'0. Control Panel'!$C$7:$F$16,4,FALSE)*(('3. Product Benefit Input'!$F77+'3. Product Benefit Input'!H77)*'3. Product Benefit Input'!$L77)+(VLOOKUP($D77,'0. Control Panel'!$C$7:$F$16,4,FALSE)*('3. Product Benefit Input'!$F77*'3. Product Benefit Input'!$L77)),0)</f>
        <v>0</v>
      </c>
      <c r="H77" s="24">
        <f>IFERROR(-VLOOKUP($D77,'0. Control Panel'!$C$7:$F$16,4,FALSE)*(('3. Product Benefit Input'!$F77+'3. Product Benefit Input'!I77)*'3. Product Benefit Input'!$L77)+(VLOOKUP($D77,'0. Control Panel'!$C$7:$F$16,4,FALSE)*('3. Product Benefit Input'!$F77*'3. Product Benefit Input'!$L77)),0)</f>
        <v>0</v>
      </c>
      <c r="I77" s="24">
        <f>IFERROR(-VLOOKUP($D77,'0. Control Panel'!$C$7:$F$16,4,FALSE)*(('3. Product Benefit Input'!$F77+'3. Product Benefit Input'!J77)*'3. Product Benefit Input'!$L77)+(VLOOKUP($D77,'0. Control Panel'!$C$7:$F$16,4,FALSE)*('3. Product Benefit Input'!$F77*'3. Product Benefit Input'!$L77)),0)</f>
        <v>0</v>
      </c>
      <c r="K77" s="24">
        <f>IFERROR((VLOOKUP($D77,'0. Control Panel'!$C$7:$F$16,4,FALSE)*('3. Product Benefit Input'!$F77+'3. Product Benefit Input'!H77)*'3. Product Benefit Input'!$L77)-(VLOOKUP($D77,'0. Control Panel'!$C$7:$F$16,4,FALSE)*('3. Product Benefit Input'!$F77+'3. Product Benefit Input'!H77)*'3. Product Benefit Input'!N77),0)</f>
        <v>0</v>
      </c>
      <c r="L77" s="24">
        <f>IFERROR((VLOOKUP($D77,'0. Control Panel'!$C$7:$F$16,4,FALSE)*('3. Product Benefit Input'!$F77+'3. Product Benefit Input'!I77)*'3. Product Benefit Input'!$L77)-(VLOOKUP($D77,'0. Control Panel'!$C$7:$F$16,4,FALSE)*('3. Product Benefit Input'!$F77+'3. Product Benefit Input'!I77)*'3. Product Benefit Input'!O77),0)</f>
        <v>0</v>
      </c>
      <c r="M77" s="24">
        <f>IFERROR((VLOOKUP($D77,'0. Control Panel'!$C$7:$F$16,4,FALSE)*('3. Product Benefit Input'!$F77+'3. Product Benefit Input'!J77)*'3. Product Benefit Input'!$L77)-(VLOOKUP($D77,'0. Control Panel'!$C$7:$F$16,4,FALSE)*('3. Product Benefit Input'!$F77+'3. Product Benefit Input'!J77)*'3. Product Benefit Input'!P77),0)</f>
        <v>0</v>
      </c>
      <c r="O77" s="24">
        <f>'3. Product Benefit Input'!T77</f>
        <v>0</v>
      </c>
      <c r="P77" s="24">
        <f>'3. Product Benefit Input'!U77</f>
        <v>0</v>
      </c>
      <c r="Q77" s="24">
        <f>'3. Product Benefit Input'!V77</f>
        <v>0</v>
      </c>
      <c r="S77" s="24">
        <f t="shared" si="73"/>
        <v>0</v>
      </c>
      <c r="T77" s="24">
        <f t="shared" si="70"/>
        <v>0</v>
      </c>
      <c r="U77" s="24">
        <f t="shared" si="71"/>
        <v>0</v>
      </c>
    </row>
    <row r="78" spans="1:21" x14ac:dyDescent="0.25">
      <c r="A78" t="str">
        <f t="shared" si="72"/>
        <v>FinanceP6</v>
      </c>
      <c r="C78" s="6">
        <f>IF(C77="-","-",IF(C77+1&gt;COUNTA('0. Control Panel'!$C$7:$C$16),"-",C77+1))</f>
        <v>7</v>
      </c>
      <c r="D78" s="16" t="str">
        <f>IF(C78="-","-",INDEX('0. Control Panel'!$B$6:$K$16,MATCH('3.1 Product Benefit Output'!$C78,'0. Control Panel'!$B$6:$B$16,0),MATCH(D$6,'0. Control Panel'!$B$6:$K$6,0)))</f>
        <v>Finance</v>
      </c>
      <c r="E78" s="6"/>
      <c r="F78" s="2"/>
      <c r="G78" s="24">
        <f>IFERROR(-VLOOKUP($D78,'0. Control Panel'!$C$7:$F$16,4,FALSE)*(('3. Product Benefit Input'!$F78+'3. Product Benefit Input'!H78)*'3. Product Benefit Input'!$L78)+(VLOOKUP($D78,'0. Control Panel'!$C$7:$F$16,4,FALSE)*('3. Product Benefit Input'!$F78*'3. Product Benefit Input'!$L78)),0)</f>
        <v>106000</v>
      </c>
      <c r="H78" s="24">
        <f>IFERROR(-VLOOKUP($D78,'0. Control Panel'!$C$7:$F$16,4,FALSE)*(('3. Product Benefit Input'!$F78+'3. Product Benefit Input'!I78)*'3. Product Benefit Input'!$L78)+(VLOOKUP($D78,'0. Control Panel'!$C$7:$F$16,4,FALSE)*('3. Product Benefit Input'!$F78*'3. Product Benefit Input'!$L78)),0)</f>
        <v>159000</v>
      </c>
      <c r="I78" s="24">
        <f>IFERROR(-VLOOKUP($D78,'0. Control Panel'!$C$7:$F$16,4,FALSE)*(('3. Product Benefit Input'!$F78+'3. Product Benefit Input'!J78)*'3. Product Benefit Input'!$L78)+(VLOOKUP($D78,'0. Control Panel'!$C$7:$F$16,4,FALSE)*('3. Product Benefit Input'!$F78*'3. Product Benefit Input'!$L78)),0)</f>
        <v>318000</v>
      </c>
      <c r="K78" s="24">
        <f>IFERROR((VLOOKUP($D78,'0. Control Panel'!$C$7:$F$16,4,FALSE)*('3. Product Benefit Input'!$F78+'3. Product Benefit Input'!H78)*'3. Product Benefit Input'!$L78)-(VLOOKUP($D78,'0. Control Panel'!$C$7:$F$16,4,FALSE)*('3. Product Benefit Input'!$F78+'3. Product Benefit Input'!H78)*'3. Product Benefit Input'!N78),0)</f>
        <v>0</v>
      </c>
      <c r="L78" s="24">
        <f>IFERROR((VLOOKUP($D78,'0. Control Panel'!$C$7:$F$16,4,FALSE)*('3. Product Benefit Input'!$F78+'3. Product Benefit Input'!I78)*'3. Product Benefit Input'!$L78)-(VLOOKUP($D78,'0. Control Panel'!$C$7:$F$16,4,FALSE)*('3. Product Benefit Input'!$F78+'3. Product Benefit Input'!I78)*'3. Product Benefit Input'!O78),0)</f>
        <v>69960</v>
      </c>
      <c r="M78" s="24">
        <f>IFERROR((VLOOKUP($D78,'0. Control Panel'!$C$7:$F$16,4,FALSE)*('3. Product Benefit Input'!$F78+'3. Product Benefit Input'!J78)*'3. Product Benefit Input'!$L78)-(VLOOKUP($D78,'0. Control Panel'!$C$7:$F$16,4,FALSE)*('3. Product Benefit Input'!$F78+'3. Product Benefit Input'!J78)*'3. Product Benefit Input'!P78),0)</f>
        <v>108120</v>
      </c>
      <c r="O78" s="24">
        <f>'3. Product Benefit Input'!T78</f>
        <v>0</v>
      </c>
      <c r="P78" s="24">
        <f>'3. Product Benefit Input'!U78</f>
        <v>0</v>
      </c>
      <c r="Q78" s="24">
        <f>'3. Product Benefit Input'!V78</f>
        <v>0</v>
      </c>
      <c r="S78" s="24">
        <f t="shared" si="73"/>
        <v>106000</v>
      </c>
      <c r="T78" s="24">
        <f t="shared" si="70"/>
        <v>228960</v>
      </c>
      <c r="U78" s="24">
        <f t="shared" si="71"/>
        <v>426120</v>
      </c>
    </row>
    <row r="79" spans="1:21" x14ac:dyDescent="0.25">
      <c r="A79" t="str">
        <f t="shared" si="72"/>
        <v>Head OfficeP6</v>
      </c>
      <c r="C79" s="6">
        <f>IF(C78="-","-",IF(C78+1&gt;COUNTA('0. Control Panel'!$C$7:$C$16),"-",C78+1))</f>
        <v>8</v>
      </c>
      <c r="D79" s="16" t="str">
        <f>IF(C79="-","-",INDEX('0. Control Panel'!$B$6:$K$16,MATCH('3.1 Product Benefit Output'!$C79,'0. Control Panel'!$B$6:$B$16,0),MATCH(D$6,'0. Control Panel'!$B$6:$K$6,0)))</f>
        <v>Head Office</v>
      </c>
      <c r="E79" s="6"/>
      <c r="F79" s="2"/>
      <c r="G79" s="24">
        <f>IFERROR(-VLOOKUP($D79,'0. Control Panel'!$C$7:$F$16,4,FALSE)*(('3. Product Benefit Input'!$F79+'3. Product Benefit Input'!H79)*'3. Product Benefit Input'!$L79)+(VLOOKUP($D79,'0. Control Panel'!$C$7:$F$16,4,FALSE)*('3. Product Benefit Input'!$F79*'3. Product Benefit Input'!$L79)),0)</f>
        <v>0</v>
      </c>
      <c r="H79" s="24">
        <f>IFERROR(-VLOOKUP($D79,'0. Control Panel'!$C$7:$F$16,4,FALSE)*(('3. Product Benefit Input'!$F79+'3. Product Benefit Input'!I79)*'3. Product Benefit Input'!$L79)+(VLOOKUP($D79,'0. Control Panel'!$C$7:$F$16,4,FALSE)*('3. Product Benefit Input'!$F79*'3. Product Benefit Input'!$L79)),0)</f>
        <v>0</v>
      </c>
      <c r="I79" s="24">
        <f>IFERROR(-VLOOKUP($D79,'0. Control Panel'!$C$7:$F$16,4,FALSE)*(('3. Product Benefit Input'!$F79+'3. Product Benefit Input'!J79)*'3. Product Benefit Input'!$L79)+(VLOOKUP($D79,'0. Control Panel'!$C$7:$F$16,4,FALSE)*('3. Product Benefit Input'!$F79*'3. Product Benefit Input'!$L79)),0)</f>
        <v>0</v>
      </c>
      <c r="K79" s="24">
        <f>IFERROR((VLOOKUP($D79,'0. Control Panel'!$C$7:$F$16,4,FALSE)*('3. Product Benefit Input'!$F79+'3. Product Benefit Input'!H79)*'3. Product Benefit Input'!$L79)-(VLOOKUP($D79,'0. Control Panel'!$C$7:$F$16,4,FALSE)*('3. Product Benefit Input'!$F79+'3. Product Benefit Input'!H79)*'3. Product Benefit Input'!N79),0)</f>
        <v>0</v>
      </c>
      <c r="L79" s="24">
        <f>IFERROR((VLOOKUP($D79,'0. Control Panel'!$C$7:$F$16,4,FALSE)*('3. Product Benefit Input'!$F79+'3. Product Benefit Input'!I79)*'3. Product Benefit Input'!$L79)-(VLOOKUP($D79,'0. Control Panel'!$C$7:$F$16,4,FALSE)*('3. Product Benefit Input'!$F79+'3. Product Benefit Input'!I79)*'3. Product Benefit Input'!O79),0)</f>
        <v>0</v>
      </c>
      <c r="M79" s="24">
        <f>IFERROR((VLOOKUP($D79,'0. Control Panel'!$C$7:$F$16,4,FALSE)*('3. Product Benefit Input'!$F79+'3. Product Benefit Input'!J79)*'3. Product Benefit Input'!$L79)-(VLOOKUP($D79,'0. Control Panel'!$C$7:$F$16,4,FALSE)*('3. Product Benefit Input'!$F79+'3. Product Benefit Input'!J79)*'3. Product Benefit Input'!P79),0)</f>
        <v>0</v>
      </c>
      <c r="O79" s="24">
        <f>'3. Product Benefit Input'!T79</f>
        <v>0</v>
      </c>
      <c r="P79" s="24">
        <f>'3. Product Benefit Input'!U79</f>
        <v>0</v>
      </c>
      <c r="Q79" s="24">
        <f>'3. Product Benefit Input'!V79</f>
        <v>0</v>
      </c>
      <c r="S79" s="24">
        <f t="shared" si="73"/>
        <v>0</v>
      </c>
      <c r="T79" s="24">
        <f t="shared" si="70"/>
        <v>0</v>
      </c>
      <c r="U79" s="24">
        <f t="shared" si="71"/>
        <v>0</v>
      </c>
    </row>
    <row r="80" spans="1:21" x14ac:dyDescent="0.25">
      <c r="A80" t="str">
        <f t="shared" si="72"/>
        <v>-P6</v>
      </c>
      <c r="C80" s="6" t="str">
        <f>IF(C79="-","-",IF(C79+1&gt;COUNTA('0. Control Panel'!$C$7:$C$16),"-",C79+1))</f>
        <v>-</v>
      </c>
      <c r="D80" s="16" t="str">
        <f>IF(C80="-","-",INDEX('0. Control Panel'!$B$6:$K$16,MATCH('3.1 Product Benefit Output'!$C80,'0. Control Panel'!$B$6:$B$16,0),MATCH(D$6,'0. Control Panel'!$B$6:$K$6,0)))</f>
        <v>-</v>
      </c>
      <c r="E80" s="6"/>
      <c r="F80" s="2"/>
      <c r="G80" s="24">
        <f>IFERROR(-VLOOKUP($D80,'0. Control Panel'!$C$7:$F$16,4,FALSE)*(('3. Product Benefit Input'!$F80+'3. Product Benefit Input'!H80)*'3. Product Benefit Input'!$L80)+(VLOOKUP($D80,'0. Control Panel'!$C$7:$F$16,4,FALSE)*('3. Product Benefit Input'!$F80*'3. Product Benefit Input'!$L80)),0)</f>
        <v>0</v>
      </c>
      <c r="H80" s="24">
        <f>IFERROR(-VLOOKUP($D80,'0. Control Panel'!$C$7:$F$16,4,FALSE)*(('3. Product Benefit Input'!$F80+'3. Product Benefit Input'!I80)*'3. Product Benefit Input'!$L80)+(VLOOKUP($D80,'0. Control Panel'!$C$7:$F$16,4,FALSE)*('3. Product Benefit Input'!$F80*'3. Product Benefit Input'!$L80)),0)</f>
        <v>0</v>
      </c>
      <c r="I80" s="24">
        <f>IFERROR(-VLOOKUP($D80,'0. Control Panel'!$C$7:$F$16,4,FALSE)*(('3. Product Benefit Input'!$F80+'3. Product Benefit Input'!J80)*'3. Product Benefit Input'!$L80)+(VLOOKUP($D80,'0. Control Panel'!$C$7:$F$16,4,FALSE)*('3. Product Benefit Input'!$F80*'3. Product Benefit Input'!$L80)),0)</f>
        <v>0</v>
      </c>
      <c r="K80" s="24">
        <f>IFERROR((VLOOKUP($D80,'0. Control Panel'!$C$7:$F$16,4,FALSE)*('3. Product Benefit Input'!$F80+'3. Product Benefit Input'!H80)*'3. Product Benefit Input'!$L80)-(VLOOKUP($D80,'0. Control Panel'!$C$7:$F$16,4,FALSE)*('3. Product Benefit Input'!$F80+'3. Product Benefit Input'!H80)*'3. Product Benefit Input'!N80),0)</f>
        <v>0</v>
      </c>
      <c r="L80" s="24">
        <f>IFERROR((VLOOKUP($D80,'0. Control Panel'!$C$7:$F$16,4,FALSE)*('3. Product Benefit Input'!$F80+'3. Product Benefit Input'!I80)*'3. Product Benefit Input'!$L80)-(VLOOKUP($D80,'0. Control Panel'!$C$7:$F$16,4,FALSE)*('3. Product Benefit Input'!$F80+'3. Product Benefit Input'!I80)*'3. Product Benefit Input'!O80),0)</f>
        <v>0</v>
      </c>
      <c r="M80" s="24">
        <f>IFERROR((VLOOKUP($D80,'0. Control Panel'!$C$7:$F$16,4,FALSE)*('3. Product Benefit Input'!$F80+'3. Product Benefit Input'!J80)*'3. Product Benefit Input'!$L80)-(VLOOKUP($D80,'0. Control Panel'!$C$7:$F$16,4,FALSE)*('3. Product Benefit Input'!$F80+'3. Product Benefit Input'!J80)*'3. Product Benefit Input'!P80),0)</f>
        <v>0</v>
      </c>
      <c r="O80" s="24">
        <f>'3. Product Benefit Input'!T80</f>
        <v>0</v>
      </c>
      <c r="P80" s="24">
        <f>'3. Product Benefit Input'!U80</f>
        <v>0</v>
      </c>
      <c r="Q80" s="24">
        <f>'3. Product Benefit Input'!V80</f>
        <v>0</v>
      </c>
      <c r="S80" s="24">
        <f t="shared" si="73"/>
        <v>0</v>
      </c>
      <c r="T80" s="24">
        <f t="shared" si="70"/>
        <v>0</v>
      </c>
      <c r="U80" s="24">
        <f t="shared" si="71"/>
        <v>0</v>
      </c>
    </row>
    <row r="81" spans="1:21" x14ac:dyDescent="0.25">
      <c r="A81" t="str">
        <f t="shared" si="72"/>
        <v>-P6</v>
      </c>
      <c r="C81" s="7" t="str">
        <f>IF(C80="-","-",IF(C80+1&gt;COUNTA('0. Control Panel'!$C$7:$C$16),"-",C80+1))</f>
        <v>-</v>
      </c>
      <c r="D81" s="17" t="str">
        <f>IF(C81="-","-",INDEX('0. Control Panel'!$B$6:$K$16,MATCH('3.1 Product Benefit Output'!$C81,'0. Control Panel'!$B$6:$B$16,0),MATCH(D$6,'0. Control Panel'!$B$6:$K$6,0)))</f>
        <v>-</v>
      </c>
      <c r="E81" s="7"/>
      <c r="F81" s="2"/>
      <c r="G81" s="24">
        <f>IFERROR(-VLOOKUP($D81,'0. Control Panel'!$C$7:$F$16,4,FALSE)*(('3. Product Benefit Input'!$F81+'3. Product Benefit Input'!H81)*'3. Product Benefit Input'!$L81)+(VLOOKUP($D81,'0. Control Panel'!$C$7:$F$16,4,FALSE)*('3. Product Benefit Input'!$F81*'3. Product Benefit Input'!$L81)),0)</f>
        <v>0</v>
      </c>
      <c r="H81" s="24">
        <f>IFERROR(-VLOOKUP($D81,'0. Control Panel'!$C$7:$F$16,4,FALSE)*(('3. Product Benefit Input'!$F81+'3. Product Benefit Input'!I81)*'3. Product Benefit Input'!$L81)+(VLOOKUP($D81,'0. Control Panel'!$C$7:$F$16,4,FALSE)*('3. Product Benefit Input'!$F81*'3. Product Benefit Input'!$L81)),0)</f>
        <v>0</v>
      </c>
      <c r="I81" s="24">
        <f>IFERROR(-VLOOKUP($D81,'0. Control Panel'!$C$7:$F$16,4,FALSE)*(('3. Product Benefit Input'!$F81+'3. Product Benefit Input'!J81)*'3. Product Benefit Input'!$L81)+(VLOOKUP($D81,'0. Control Panel'!$C$7:$F$16,4,FALSE)*('3. Product Benefit Input'!$F81*'3. Product Benefit Input'!$L81)),0)</f>
        <v>0</v>
      </c>
      <c r="K81" s="24">
        <f>IFERROR((VLOOKUP($D81,'0. Control Panel'!$C$7:$F$16,4,FALSE)*('3. Product Benefit Input'!$F81+'3. Product Benefit Input'!H81)*'3. Product Benefit Input'!$L81)-(VLOOKUP($D81,'0. Control Panel'!$C$7:$F$16,4,FALSE)*('3. Product Benefit Input'!$F81+'3. Product Benefit Input'!H81)*'3. Product Benefit Input'!N81),0)</f>
        <v>0</v>
      </c>
      <c r="L81" s="24">
        <f>IFERROR((VLOOKUP($D81,'0. Control Panel'!$C$7:$F$16,4,FALSE)*('3. Product Benefit Input'!$F81+'3. Product Benefit Input'!I81)*'3. Product Benefit Input'!$L81)-(VLOOKUP($D81,'0. Control Panel'!$C$7:$F$16,4,FALSE)*('3. Product Benefit Input'!$F81+'3. Product Benefit Input'!I81)*'3. Product Benefit Input'!O81),0)</f>
        <v>0</v>
      </c>
      <c r="M81" s="24">
        <f>IFERROR((VLOOKUP($D81,'0. Control Panel'!$C$7:$F$16,4,FALSE)*('3. Product Benefit Input'!$F81+'3. Product Benefit Input'!J81)*'3. Product Benefit Input'!$L81)-(VLOOKUP($D81,'0. Control Panel'!$C$7:$F$16,4,FALSE)*('3. Product Benefit Input'!$F81+'3. Product Benefit Input'!J81)*'3. Product Benefit Input'!P81),0)</f>
        <v>0</v>
      </c>
      <c r="O81" s="24">
        <f>'3. Product Benefit Input'!T81</f>
        <v>0</v>
      </c>
      <c r="P81" s="24">
        <f>'3. Product Benefit Input'!U81</f>
        <v>0</v>
      </c>
      <c r="Q81" s="24">
        <f>'3. Product Benefit Input'!V81</f>
        <v>0</v>
      </c>
      <c r="S81" s="24">
        <f t="shared" si="73"/>
        <v>0</v>
      </c>
      <c r="T81" s="24">
        <f t="shared" si="70"/>
        <v>0</v>
      </c>
      <c r="U81" s="24">
        <f t="shared" si="71"/>
        <v>0</v>
      </c>
    </row>
    <row r="82" spans="1:21" ht="16.5" thickBot="1" x14ac:dyDescent="0.3">
      <c r="A82" s="22" t="str">
        <f>D82&amp;$C$71</f>
        <v>All Departments/FunctionsP6</v>
      </c>
      <c r="B82" s="22"/>
      <c r="C82" s="23"/>
      <c r="D82" s="27" t="str">
        <f>D69</f>
        <v>All Departments/Functions</v>
      </c>
      <c r="E82" s="23"/>
      <c r="F82" s="23"/>
      <c r="G82" s="28">
        <f>SUM(G72:G81)</f>
        <v>106000</v>
      </c>
      <c r="H82" s="28">
        <f t="shared" ref="H82" si="74">SUM(H72:H81)</f>
        <v>159000</v>
      </c>
      <c r="I82" s="28">
        <f t="shared" ref="I82" si="75">SUM(I72:I81)</f>
        <v>318000</v>
      </c>
      <c r="J82" s="23"/>
      <c r="K82" s="28">
        <f>SUM(K72:K81)</f>
        <v>0</v>
      </c>
      <c r="L82" s="28">
        <f t="shared" ref="L82" si="76">SUM(L72:L81)</f>
        <v>69960</v>
      </c>
      <c r="M82" s="28">
        <f t="shared" ref="M82" si="77">SUM(M72:M81)</f>
        <v>108120</v>
      </c>
      <c r="N82" s="29"/>
      <c r="O82" s="28">
        <f t="shared" ref="O82" si="78">SUM(O72:O81)</f>
        <v>0</v>
      </c>
      <c r="P82" s="28">
        <f t="shared" ref="P82" si="79">SUM(P72:P81)</f>
        <v>0</v>
      </c>
      <c r="Q82" s="28">
        <f t="shared" ref="Q82" si="80">SUM(Q72:Q81)</f>
        <v>0</v>
      </c>
      <c r="R82" s="29"/>
      <c r="S82" s="28">
        <f t="shared" ref="S82" si="81">SUM(S72:S81)</f>
        <v>106000</v>
      </c>
      <c r="T82" s="28">
        <f t="shared" ref="T82" si="82">SUM(T72:T81)</f>
        <v>228960</v>
      </c>
      <c r="U82" s="28">
        <f t="shared" ref="U82" si="83">SUM(U72:U81)</f>
        <v>426120</v>
      </c>
    </row>
    <row r="83" spans="1:21" ht="16.5" thickTop="1" x14ac:dyDescent="0.25"/>
    <row r="84" spans="1:21" ht="15.95" customHeight="1" x14ac:dyDescent="0.25">
      <c r="C84" s="12" t="s">
        <v>28</v>
      </c>
      <c r="D84" s="30" t="str">
        <f>IF(INDEX('0. Control Panel'!$B$31:$C$41,MATCH('3.1 Product Benefit Output'!$C84,'0. Control Panel'!$B$31:$B$41,0),2)="","n/a",INDEX('0. Control Panel'!$B$31:$C$41,MATCH('3.1 Product Benefit Output'!$C84,'0. Control Panel'!$B$31:$B$41,0),2))</f>
        <v>Reduced Non-Compliance Risk  Costs</v>
      </c>
      <c r="G84"/>
      <c r="H84"/>
      <c r="I84"/>
      <c r="J84"/>
      <c r="K84"/>
      <c r="L84"/>
      <c r="M84"/>
      <c r="N84"/>
      <c r="O84"/>
      <c r="P84"/>
      <c r="Q84"/>
      <c r="R84"/>
      <c r="S84"/>
      <c r="T84"/>
      <c r="U84"/>
    </row>
    <row r="85" spans="1:21" x14ac:dyDescent="0.25">
      <c r="A85" t="str">
        <f>D85&amp;$C$84</f>
        <v>ITP7</v>
      </c>
      <c r="C85" s="5">
        <v>1</v>
      </c>
      <c r="D85" s="15" t="str">
        <f>IF(C85="-","-",INDEX('0. Control Panel'!$B$6:$K$16,MATCH('3.1 Product Benefit Output'!$C85,'0. Control Panel'!$B$6:$B$16,0),MATCH(D$6,'0. Control Panel'!$B$6:$K$6,0)))</f>
        <v>IT</v>
      </c>
      <c r="E85" s="5"/>
      <c r="F85" s="2"/>
      <c r="G85" s="24">
        <f>IFERROR(-VLOOKUP($D85,'0. Control Panel'!$C$7:$F$16,4,FALSE)*(('3. Product Benefit Input'!$F85+'3. Product Benefit Input'!H85)*'3. Product Benefit Input'!$L85)+(VLOOKUP($D85,'0. Control Panel'!$C$7:$F$16,4,FALSE)*('3. Product Benefit Input'!$F85*'3. Product Benefit Input'!$L85)),0)</f>
        <v>0</v>
      </c>
      <c r="H85" s="24">
        <f>IFERROR(-VLOOKUP($D85,'0. Control Panel'!$C$7:$F$16,4,FALSE)*(('3. Product Benefit Input'!$F85+'3. Product Benefit Input'!I85)*'3. Product Benefit Input'!$L85)+(VLOOKUP($D85,'0. Control Panel'!$C$7:$F$16,4,FALSE)*('3. Product Benefit Input'!$F85*'3. Product Benefit Input'!$L85)),0)</f>
        <v>0</v>
      </c>
      <c r="I85" s="24">
        <f>IFERROR(-VLOOKUP($D85,'0. Control Panel'!$C$7:$F$16,4,FALSE)*(('3. Product Benefit Input'!$F85+'3. Product Benefit Input'!J85)*'3. Product Benefit Input'!$L85)+(VLOOKUP($D85,'0. Control Panel'!$C$7:$F$16,4,FALSE)*('3. Product Benefit Input'!$F85*'3. Product Benefit Input'!$L85)),0)</f>
        <v>0</v>
      </c>
      <c r="K85" s="24">
        <f>IFERROR((VLOOKUP($D85,'0. Control Panel'!$C$7:$F$16,4,FALSE)*('3. Product Benefit Input'!$F85+'3. Product Benefit Input'!H85)*'3. Product Benefit Input'!$L85)-(VLOOKUP($D85,'0. Control Panel'!$C$7:$F$16,4,FALSE)*('3. Product Benefit Input'!$F85+'3. Product Benefit Input'!H85)*'3. Product Benefit Input'!N85),0)</f>
        <v>0</v>
      </c>
      <c r="L85" s="24">
        <f>IFERROR((VLOOKUP($D85,'0. Control Panel'!$C$7:$F$16,4,FALSE)*('3. Product Benefit Input'!$F85+'3. Product Benefit Input'!I85)*'3. Product Benefit Input'!$L85)-(VLOOKUP($D85,'0. Control Panel'!$C$7:$F$16,4,FALSE)*('3. Product Benefit Input'!$F85+'3. Product Benefit Input'!I85)*'3. Product Benefit Input'!O85),0)</f>
        <v>0</v>
      </c>
      <c r="M85" s="24">
        <f>IFERROR((VLOOKUP($D85,'0. Control Panel'!$C$7:$F$16,4,FALSE)*('3. Product Benefit Input'!$F85+'3. Product Benefit Input'!J85)*'3. Product Benefit Input'!$L85)-(VLOOKUP($D85,'0. Control Panel'!$C$7:$F$16,4,FALSE)*('3. Product Benefit Input'!$F85+'3. Product Benefit Input'!J85)*'3. Product Benefit Input'!P85),0)</f>
        <v>0</v>
      </c>
      <c r="O85" s="24">
        <f>'3. Product Benefit Input'!T85</f>
        <v>0</v>
      </c>
      <c r="P85" s="24">
        <f>'3. Product Benefit Input'!U85</f>
        <v>0</v>
      </c>
      <c r="Q85" s="24">
        <f>'3. Product Benefit Input'!V85</f>
        <v>0</v>
      </c>
      <c r="S85" s="24">
        <f>SUM(G85,K85,O85)</f>
        <v>0</v>
      </c>
      <c r="T85" s="24">
        <f t="shared" ref="T85:T94" si="84">SUM(H85,L85,P85)</f>
        <v>0</v>
      </c>
      <c r="U85" s="24">
        <f t="shared" ref="U85:U94" si="85">SUM(I85,M85,Q85)</f>
        <v>0</v>
      </c>
    </row>
    <row r="86" spans="1:21" x14ac:dyDescent="0.25">
      <c r="A86" t="str">
        <f t="shared" ref="A86:A94" si="86">D86&amp;$C$84</f>
        <v>SalesP7</v>
      </c>
      <c r="C86" s="6">
        <f>IF(C85="-","-",IF(C85+1&gt;COUNTA('0. Control Panel'!$C$7:$C$16),"-",C85+1))</f>
        <v>2</v>
      </c>
      <c r="D86" s="16" t="str">
        <f>IF(C86="-","-",INDEX('0. Control Panel'!$B$6:$K$16,MATCH('3.1 Product Benefit Output'!$C86,'0. Control Panel'!$B$6:$B$16,0),MATCH(D$6,'0. Control Panel'!$B$6:$K$6,0)))</f>
        <v>Sales</v>
      </c>
      <c r="E86" s="6"/>
      <c r="F86" s="2"/>
      <c r="G86" s="24">
        <f>IFERROR(-VLOOKUP($D86,'0. Control Panel'!$C$7:$F$16,4,FALSE)*(('3. Product Benefit Input'!$F86+'3. Product Benefit Input'!H86)*'3. Product Benefit Input'!$L86)+(VLOOKUP($D86,'0. Control Panel'!$C$7:$F$16,4,FALSE)*('3. Product Benefit Input'!$F86*'3. Product Benefit Input'!$L86)),0)</f>
        <v>0</v>
      </c>
      <c r="H86" s="24">
        <f>IFERROR(-VLOOKUP($D86,'0. Control Panel'!$C$7:$F$16,4,FALSE)*(('3. Product Benefit Input'!$F86+'3. Product Benefit Input'!I86)*'3. Product Benefit Input'!$L86)+(VLOOKUP($D86,'0. Control Panel'!$C$7:$F$16,4,FALSE)*('3. Product Benefit Input'!$F86*'3. Product Benefit Input'!$L86)),0)</f>
        <v>0</v>
      </c>
      <c r="I86" s="24">
        <f>IFERROR(-VLOOKUP($D86,'0. Control Panel'!$C$7:$F$16,4,FALSE)*(('3. Product Benefit Input'!$F86+'3. Product Benefit Input'!J86)*'3. Product Benefit Input'!$L86)+(VLOOKUP($D86,'0. Control Panel'!$C$7:$F$16,4,FALSE)*('3. Product Benefit Input'!$F86*'3. Product Benefit Input'!$L86)),0)</f>
        <v>0</v>
      </c>
      <c r="K86" s="24">
        <f>IFERROR((VLOOKUP($D86,'0. Control Panel'!$C$7:$F$16,4,FALSE)*('3. Product Benefit Input'!$F86+'3. Product Benefit Input'!H86)*'3. Product Benefit Input'!$L86)-(VLOOKUP($D86,'0. Control Panel'!$C$7:$F$16,4,FALSE)*('3. Product Benefit Input'!$F86+'3. Product Benefit Input'!H86)*'3. Product Benefit Input'!N86),0)</f>
        <v>0</v>
      </c>
      <c r="L86" s="24">
        <f>IFERROR((VLOOKUP($D86,'0. Control Panel'!$C$7:$F$16,4,FALSE)*('3. Product Benefit Input'!$F86+'3. Product Benefit Input'!I86)*'3. Product Benefit Input'!$L86)-(VLOOKUP($D86,'0. Control Panel'!$C$7:$F$16,4,FALSE)*('3. Product Benefit Input'!$F86+'3. Product Benefit Input'!I86)*'3. Product Benefit Input'!O86),0)</f>
        <v>0</v>
      </c>
      <c r="M86" s="24">
        <f>IFERROR((VLOOKUP($D86,'0. Control Panel'!$C$7:$F$16,4,FALSE)*('3. Product Benefit Input'!$F86+'3. Product Benefit Input'!J86)*'3. Product Benefit Input'!$L86)-(VLOOKUP($D86,'0. Control Panel'!$C$7:$F$16,4,FALSE)*('3. Product Benefit Input'!$F86+'3. Product Benefit Input'!J86)*'3. Product Benefit Input'!P86),0)</f>
        <v>0</v>
      </c>
      <c r="O86" s="24">
        <f>'3. Product Benefit Input'!T86</f>
        <v>0</v>
      </c>
      <c r="P86" s="24">
        <f>'3. Product Benefit Input'!U86</f>
        <v>0</v>
      </c>
      <c r="Q86" s="24">
        <f>'3. Product Benefit Input'!V86</f>
        <v>0</v>
      </c>
      <c r="S86" s="24">
        <f t="shared" ref="S86:S94" si="87">SUM(G86,K86,O86)</f>
        <v>0</v>
      </c>
      <c r="T86" s="24">
        <f t="shared" si="84"/>
        <v>0</v>
      </c>
      <c r="U86" s="24">
        <f t="shared" si="85"/>
        <v>0</v>
      </c>
    </row>
    <row r="87" spans="1:21" x14ac:dyDescent="0.25">
      <c r="A87" t="str">
        <f t="shared" si="86"/>
        <v>Product AP7</v>
      </c>
      <c r="C87" s="6">
        <f>IF(C86="-","-",IF(C86+1&gt;COUNTA('0. Control Panel'!$C$7:$C$16),"-",C86+1))</f>
        <v>3</v>
      </c>
      <c r="D87" s="16" t="str">
        <f>IF(C87="-","-",INDEX('0. Control Panel'!$B$6:$K$16,MATCH('3.1 Product Benefit Output'!$C87,'0. Control Panel'!$B$6:$B$16,0),MATCH(D$6,'0. Control Panel'!$B$6:$K$6,0)))</f>
        <v>Product A</v>
      </c>
      <c r="E87" s="6"/>
      <c r="F87" s="2"/>
      <c r="G87" s="24">
        <f>IFERROR(-VLOOKUP($D87,'0. Control Panel'!$C$7:$F$16,4,FALSE)*(('3. Product Benefit Input'!$F87+'3. Product Benefit Input'!H87)*'3. Product Benefit Input'!$L87)+(VLOOKUP($D87,'0. Control Panel'!$C$7:$F$16,4,FALSE)*('3. Product Benefit Input'!$F87*'3. Product Benefit Input'!$L87)),0)</f>
        <v>0</v>
      </c>
      <c r="H87" s="24">
        <f>IFERROR(-VLOOKUP($D87,'0. Control Panel'!$C$7:$F$16,4,FALSE)*(('3. Product Benefit Input'!$F87+'3. Product Benefit Input'!I87)*'3. Product Benefit Input'!$L87)+(VLOOKUP($D87,'0. Control Panel'!$C$7:$F$16,4,FALSE)*('3. Product Benefit Input'!$F87*'3. Product Benefit Input'!$L87)),0)</f>
        <v>0</v>
      </c>
      <c r="I87" s="24">
        <f>IFERROR(-VLOOKUP($D87,'0. Control Panel'!$C$7:$F$16,4,FALSE)*(('3. Product Benefit Input'!$F87+'3. Product Benefit Input'!J87)*'3. Product Benefit Input'!$L87)+(VLOOKUP($D87,'0. Control Panel'!$C$7:$F$16,4,FALSE)*('3. Product Benefit Input'!$F87*'3. Product Benefit Input'!$L87)),0)</f>
        <v>0</v>
      </c>
      <c r="K87" s="24">
        <f>IFERROR((VLOOKUP($D87,'0. Control Panel'!$C$7:$F$16,4,FALSE)*('3. Product Benefit Input'!$F87+'3. Product Benefit Input'!H87)*'3. Product Benefit Input'!$L87)-(VLOOKUP($D87,'0. Control Panel'!$C$7:$F$16,4,FALSE)*('3. Product Benefit Input'!$F87+'3. Product Benefit Input'!H87)*'3. Product Benefit Input'!N87),0)</f>
        <v>0</v>
      </c>
      <c r="L87" s="24">
        <f>IFERROR((VLOOKUP($D87,'0. Control Panel'!$C$7:$F$16,4,FALSE)*('3. Product Benefit Input'!$F87+'3. Product Benefit Input'!I87)*'3. Product Benefit Input'!$L87)-(VLOOKUP($D87,'0. Control Panel'!$C$7:$F$16,4,FALSE)*('3. Product Benefit Input'!$F87+'3. Product Benefit Input'!I87)*'3. Product Benefit Input'!O87),0)</f>
        <v>0</v>
      </c>
      <c r="M87" s="24">
        <f>IFERROR((VLOOKUP($D87,'0. Control Panel'!$C$7:$F$16,4,FALSE)*('3. Product Benefit Input'!$F87+'3. Product Benefit Input'!J87)*'3. Product Benefit Input'!$L87)-(VLOOKUP($D87,'0. Control Panel'!$C$7:$F$16,4,FALSE)*('3. Product Benefit Input'!$F87+'3. Product Benefit Input'!J87)*'3. Product Benefit Input'!P87),0)</f>
        <v>0</v>
      </c>
      <c r="O87" s="24">
        <f>'3. Product Benefit Input'!T87</f>
        <v>0</v>
      </c>
      <c r="P87" s="24">
        <f>'3. Product Benefit Input'!U87</f>
        <v>0</v>
      </c>
      <c r="Q87" s="24">
        <f>'3. Product Benefit Input'!V87</f>
        <v>0</v>
      </c>
      <c r="S87" s="24">
        <f t="shared" si="87"/>
        <v>0</v>
      </c>
      <c r="T87" s="24">
        <f t="shared" si="84"/>
        <v>0</v>
      </c>
      <c r="U87" s="24">
        <f t="shared" si="85"/>
        <v>0</v>
      </c>
    </row>
    <row r="88" spans="1:21" x14ac:dyDescent="0.25">
      <c r="A88" t="str">
        <f t="shared" si="86"/>
        <v>Product BP7</v>
      </c>
      <c r="C88" s="6">
        <f>IF(C87="-","-",IF(C87+1&gt;COUNTA('0. Control Panel'!$C$7:$C$16),"-",C87+1))</f>
        <v>4</v>
      </c>
      <c r="D88" s="16" t="str">
        <f>IF(C88="-","-",INDEX('0. Control Panel'!$B$6:$K$16,MATCH('3.1 Product Benefit Output'!$C88,'0. Control Panel'!$B$6:$B$16,0),MATCH(D$6,'0. Control Panel'!$B$6:$K$6,0)))</f>
        <v>Product B</v>
      </c>
      <c r="E88" s="6"/>
      <c r="F88" s="2"/>
      <c r="G88" s="24">
        <f>IFERROR(-VLOOKUP($D88,'0. Control Panel'!$C$7:$F$16,4,FALSE)*(('3. Product Benefit Input'!$F88+'3. Product Benefit Input'!H88)*'3. Product Benefit Input'!$L88)+(VLOOKUP($D88,'0. Control Panel'!$C$7:$F$16,4,FALSE)*('3. Product Benefit Input'!$F88*'3. Product Benefit Input'!$L88)),0)</f>
        <v>0</v>
      </c>
      <c r="H88" s="24">
        <f>IFERROR(-VLOOKUP($D88,'0. Control Panel'!$C$7:$F$16,4,FALSE)*(('3. Product Benefit Input'!$F88+'3. Product Benefit Input'!I88)*'3. Product Benefit Input'!$L88)+(VLOOKUP($D88,'0. Control Panel'!$C$7:$F$16,4,FALSE)*('3. Product Benefit Input'!$F88*'3. Product Benefit Input'!$L88)),0)</f>
        <v>0</v>
      </c>
      <c r="I88" s="24">
        <f>IFERROR(-VLOOKUP($D88,'0. Control Panel'!$C$7:$F$16,4,FALSE)*(('3. Product Benefit Input'!$F88+'3. Product Benefit Input'!J88)*'3. Product Benefit Input'!$L88)+(VLOOKUP($D88,'0. Control Panel'!$C$7:$F$16,4,FALSE)*('3. Product Benefit Input'!$F88*'3. Product Benefit Input'!$L88)),0)</f>
        <v>0</v>
      </c>
      <c r="K88" s="24">
        <f>IFERROR((VLOOKUP($D88,'0. Control Panel'!$C$7:$F$16,4,FALSE)*('3. Product Benefit Input'!$F88+'3. Product Benefit Input'!H88)*'3. Product Benefit Input'!$L88)-(VLOOKUP($D88,'0. Control Panel'!$C$7:$F$16,4,FALSE)*('3. Product Benefit Input'!$F88+'3. Product Benefit Input'!H88)*'3. Product Benefit Input'!N88),0)</f>
        <v>0</v>
      </c>
      <c r="L88" s="24">
        <f>IFERROR((VLOOKUP($D88,'0. Control Panel'!$C$7:$F$16,4,FALSE)*('3. Product Benefit Input'!$F88+'3. Product Benefit Input'!I88)*'3. Product Benefit Input'!$L88)-(VLOOKUP($D88,'0. Control Panel'!$C$7:$F$16,4,FALSE)*('3. Product Benefit Input'!$F88+'3. Product Benefit Input'!I88)*'3. Product Benefit Input'!O88),0)</f>
        <v>0</v>
      </c>
      <c r="M88" s="24">
        <f>IFERROR((VLOOKUP($D88,'0. Control Panel'!$C$7:$F$16,4,FALSE)*('3. Product Benefit Input'!$F88+'3. Product Benefit Input'!J88)*'3. Product Benefit Input'!$L88)-(VLOOKUP($D88,'0. Control Panel'!$C$7:$F$16,4,FALSE)*('3. Product Benefit Input'!$F88+'3. Product Benefit Input'!J88)*'3. Product Benefit Input'!P88),0)</f>
        <v>0</v>
      </c>
      <c r="O88" s="24">
        <f>'3. Product Benefit Input'!T88</f>
        <v>0</v>
      </c>
      <c r="P88" s="24">
        <f>'3. Product Benefit Input'!U88</f>
        <v>0</v>
      </c>
      <c r="Q88" s="24">
        <f>'3. Product Benefit Input'!V88</f>
        <v>0</v>
      </c>
      <c r="S88" s="24">
        <f t="shared" si="87"/>
        <v>0</v>
      </c>
      <c r="T88" s="24">
        <f t="shared" si="84"/>
        <v>0</v>
      </c>
      <c r="U88" s="24">
        <f t="shared" si="85"/>
        <v>0</v>
      </c>
    </row>
    <row r="89" spans="1:21" x14ac:dyDescent="0.25">
      <c r="A89" t="str">
        <f t="shared" si="86"/>
        <v>R&amp;DP7</v>
      </c>
      <c r="C89" s="6">
        <f>IF(C88="-","-",IF(C88+1&gt;COUNTA('0. Control Panel'!$C$7:$C$16),"-",C88+1))</f>
        <v>5</v>
      </c>
      <c r="D89" s="16" t="str">
        <f>IF(C89="-","-",INDEX('0. Control Panel'!$B$6:$K$16,MATCH('3.1 Product Benefit Output'!$C89,'0. Control Panel'!$B$6:$B$16,0),MATCH(D$6,'0. Control Panel'!$B$6:$K$6,0)))</f>
        <v>R&amp;D</v>
      </c>
      <c r="E89" s="6"/>
      <c r="F89" s="2"/>
      <c r="G89" s="24">
        <f>IFERROR(-VLOOKUP($D89,'0. Control Panel'!$C$7:$F$16,4,FALSE)*(('3. Product Benefit Input'!$F89+'3. Product Benefit Input'!H89)*'3. Product Benefit Input'!$L89)+(VLOOKUP($D89,'0. Control Panel'!$C$7:$F$16,4,FALSE)*('3. Product Benefit Input'!$F89*'3. Product Benefit Input'!$L89)),0)</f>
        <v>0</v>
      </c>
      <c r="H89" s="24">
        <f>IFERROR(-VLOOKUP($D89,'0. Control Panel'!$C$7:$F$16,4,FALSE)*(('3. Product Benefit Input'!$F89+'3. Product Benefit Input'!I89)*'3. Product Benefit Input'!$L89)+(VLOOKUP($D89,'0. Control Panel'!$C$7:$F$16,4,FALSE)*('3. Product Benefit Input'!$F89*'3. Product Benefit Input'!$L89)),0)</f>
        <v>0</v>
      </c>
      <c r="I89" s="24">
        <f>IFERROR(-VLOOKUP($D89,'0. Control Panel'!$C$7:$F$16,4,FALSE)*(('3. Product Benefit Input'!$F89+'3. Product Benefit Input'!J89)*'3. Product Benefit Input'!$L89)+(VLOOKUP($D89,'0. Control Panel'!$C$7:$F$16,4,FALSE)*('3. Product Benefit Input'!$F89*'3. Product Benefit Input'!$L89)),0)</f>
        <v>0</v>
      </c>
      <c r="K89" s="24">
        <f>IFERROR((VLOOKUP($D89,'0. Control Panel'!$C$7:$F$16,4,FALSE)*('3. Product Benefit Input'!$F89+'3. Product Benefit Input'!H89)*'3. Product Benefit Input'!$L89)-(VLOOKUP($D89,'0. Control Panel'!$C$7:$F$16,4,FALSE)*('3. Product Benefit Input'!$F89+'3. Product Benefit Input'!H89)*'3. Product Benefit Input'!N89),0)</f>
        <v>0</v>
      </c>
      <c r="L89" s="24">
        <f>IFERROR((VLOOKUP($D89,'0. Control Panel'!$C$7:$F$16,4,FALSE)*('3. Product Benefit Input'!$F89+'3. Product Benefit Input'!I89)*'3. Product Benefit Input'!$L89)-(VLOOKUP($D89,'0. Control Panel'!$C$7:$F$16,4,FALSE)*('3. Product Benefit Input'!$F89+'3. Product Benefit Input'!I89)*'3. Product Benefit Input'!O89),0)</f>
        <v>0</v>
      </c>
      <c r="M89" s="24">
        <f>IFERROR((VLOOKUP($D89,'0. Control Panel'!$C$7:$F$16,4,FALSE)*('3. Product Benefit Input'!$F89+'3. Product Benefit Input'!J89)*'3. Product Benefit Input'!$L89)-(VLOOKUP($D89,'0. Control Panel'!$C$7:$F$16,4,FALSE)*('3. Product Benefit Input'!$F89+'3. Product Benefit Input'!J89)*'3. Product Benefit Input'!P89),0)</f>
        <v>0</v>
      </c>
      <c r="O89" s="24">
        <f>'3. Product Benefit Input'!T89</f>
        <v>0</v>
      </c>
      <c r="P89" s="24">
        <f>'3. Product Benefit Input'!U89</f>
        <v>0</v>
      </c>
      <c r="Q89" s="24">
        <f>'3. Product Benefit Input'!V89</f>
        <v>0</v>
      </c>
      <c r="S89" s="24">
        <f t="shared" si="87"/>
        <v>0</v>
      </c>
      <c r="T89" s="24">
        <f t="shared" si="84"/>
        <v>0</v>
      </c>
      <c r="U89" s="24">
        <f t="shared" si="85"/>
        <v>0</v>
      </c>
    </row>
    <row r="90" spans="1:21" x14ac:dyDescent="0.25">
      <c r="A90" t="str">
        <f t="shared" si="86"/>
        <v>HRP7</v>
      </c>
      <c r="C90" s="6">
        <f>IF(C89="-","-",IF(C89+1&gt;COUNTA('0. Control Panel'!$C$7:$C$16),"-",C89+1))</f>
        <v>6</v>
      </c>
      <c r="D90" s="16" t="str">
        <f>IF(C90="-","-",INDEX('0. Control Panel'!$B$6:$K$16,MATCH('3.1 Product Benefit Output'!$C90,'0. Control Panel'!$B$6:$B$16,0),MATCH(D$6,'0. Control Panel'!$B$6:$K$6,0)))</f>
        <v>HR</v>
      </c>
      <c r="E90" s="6"/>
      <c r="F90" s="2"/>
      <c r="G90" s="24">
        <f>IFERROR(-VLOOKUP($D90,'0. Control Panel'!$C$7:$F$16,4,FALSE)*(('3. Product Benefit Input'!$F90+'3. Product Benefit Input'!H90)*'3. Product Benefit Input'!$L90)+(VLOOKUP($D90,'0. Control Panel'!$C$7:$F$16,4,FALSE)*('3. Product Benefit Input'!$F90*'3. Product Benefit Input'!$L90)),0)</f>
        <v>147000</v>
      </c>
      <c r="H90" s="24">
        <f>IFERROR(-VLOOKUP($D90,'0. Control Panel'!$C$7:$F$16,4,FALSE)*(('3. Product Benefit Input'!$F90+'3. Product Benefit Input'!I90)*'3. Product Benefit Input'!$L90)+(VLOOKUP($D90,'0. Control Panel'!$C$7:$F$16,4,FALSE)*('3. Product Benefit Input'!$F90*'3. Product Benefit Input'!$L90)),0)</f>
        <v>196000</v>
      </c>
      <c r="I90" s="24">
        <f>IFERROR(-VLOOKUP($D90,'0. Control Panel'!$C$7:$F$16,4,FALSE)*(('3. Product Benefit Input'!$F90+'3. Product Benefit Input'!J90)*'3. Product Benefit Input'!$L90)+(VLOOKUP($D90,'0. Control Panel'!$C$7:$F$16,4,FALSE)*('3. Product Benefit Input'!$F90*'3. Product Benefit Input'!$L90)),0)</f>
        <v>245000</v>
      </c>
      <c r="K90" s="24">
        <f>IFERROR((VLOOKUP($D90,'0. Control Panel'!$C$7:$F$16,4,FALSE)*('3. Product Benefit Input'!$F90+'3. Product Benefit Input'!H90)*'3. Product Benefit Input'!$L90)-(VLOOKUP($D90,'0. Control Panel'!$C$7:$F$16,4,FALSE)*('3. Product Benefit Input'!$F90+'3. Product Benefit Input'!H90)*'3. Product Benefit Input'!N90),0)</f>
        <v>0</v>
      </c>
      <c r="L90" s="24">
        <f>IFERROR((VLOOKUP($D90,'0. Control Panel'!$C$7:$F$16,4,FALSE)*('3. Product Benefit Input'!$F90+'3. Product Benefit Input'!I90)*'3. Product Benefit Input'!$L90)-(VLOOKUP($D90,'0. Control Panel'!$C$7:$F$16,4,FALSE)*('3. Product Benefit Input'!$F90+'3. Product Benefit Input'!I90)*'3. Product Benefit Input'!O90),0)</f>
        <v>0</v>
      </c>
      <c r="M90" s="24">
        <f>IFERROR((VLOOKUP($D90,'0. Control Panel'!$C$7:$F$16,4,FALSE)*('3. Product Benefit Input'!$F90+'3. Product Benefit Input'!J90)*'3. Product Benefit Input'!$L90)-(VLOOKUP($D90,'0. Control Panel'!$C$7:$F$16,4,FALSE)*('3. Product Benefit Input'!$F90+'3. Product Benefit Input'!J90)*'3. Product Benefit Input'!P90),0)</f>
        <v>0</v>
      </c>
      <c r="O90" s="24">
        <f>'3. Product Benefit Input'!T90</f>
        <v>0</v>
      </c>
      <c r="P90" s="24">
        <f>'3. Product Benefit Input'!U90</f>
        <v>0</v>
      </c>
      <c r="Q90" s="24">
        <f>'3. Product Benefit Input'!V90</f>
        <v>0</v>
      </c>
      <c r="S90" s="24">
        <f t="shared" si="87"/>
        <v>147000</v>
      </c>
      <c r="T90" s="24">
        <f t="shared" si="84"/>
        <v>196000</v>
      </c>
      <c r="U90" s="24">
        <f t="shared" si="85"/>
        <v>245000</v>
      </c>
    </row>
    <row r="91" spans="1:21" x14ac:dyDescent="0.25">
      <c r="A91" t="str">
        <f t="shared" si="86"/>
        <v>FinanceP7</v>
      </c>
      <c r="C91" s="6">
        <f>IF(C90="-","-",IF(C90+1&gt;COUNTA('0. Control Panel'!$C$7:$C$16),"-",C90+1))</f>
        <v>7</v>
      </c>
      <c r="D91" s="16" t="str">
        <f>IF(C91="-","-",INDEX('0. Control Panel'!$B$6:$K$16,MATCH('3.1 Product Benefit Output'!$C91,'0. Control Panel'!$B$6:$B$16,0),MATCH(D$6,'0. Control Panel'!$B$6:$K$6,0)))</f>
        <v>Finance</v>
      </c>
      <c r="E91" s="6"/>
      <c r="F91" s="2"/>
      <c r="G91" s="24">
        <f>IFERROR(-VLOOKUP($D91,'0. Control Panel'!$C$7:$F$16,4,FALSE)*(('3. Product Benefit Input'!$F91+'3. Product Benefit Input'!H91)*'3. Product Benefit Input'!$L91)+(VLOOKUP($D91,'0. Control Panel'!$C$7:$F$16,4,FALSE)*('3. Product Benefit Input'!$F91*'3. Product Benefit Input'!$L91)),0)</f>
        <v>0</v>
      </c>
      <c r="H91" s="24">
        <f>IFERROR(-VLOOKUP($D91,'0. Control Panel'!$C$7:$F$16,4,FALSE)*(('3. Product Benefit Input'!$F91+'3. Product Benefit Input'!I91)*'3. Product Benefit Input'!$L91)+(VLOOKUP($D91,'0. Control Panel'!$C$7:$F$16,4,FALSE)*('3. Product Benefit Input'!$F91*'3. Product Benefit Input'!$L91)),0)</f>
        <v>53000</v>
      </c>
      <c r="I91" s="24">
        <f>IFERROR(-VLOOKUP($D91,'0. Control Panel'!$C$7:$F$16,4,FALSE)*(('3. Product Benefit Input'!$F91+'3. Product Benefit Input'!J91)*'3. Product Benefit Input'!$L91)+(VLOOKUP($D91,'0. Control Panel'!$C$7:$F$16,4,FALSE)*('3. Product Benefit Input'!$F91*'3. Product Benefit Input'!$L91)),0)</f>
        <v>106000</v>
      </c>
      <c r="K91" s="24">
        <f>IFERROR((VLOOKUP($D91,'0. Control Panel'!$C$7:$F$16,4,FALSE)*('3. Product Benefit Input'!$F91+'3. Product Benefit Input'!H91)*'3. Product Benefit Input'!$L91)-(VLOOKUP($D91,'0. Control Panel'!$C$7:$F$16,4,FALSE)*('3. Product Benefit Input'!$F91+'3. Product Benefit Input'!H91)*'3. Product Benefit Input'!N91),0)</f>
        <v>0</v>
      </c>
      <c r="L91" s="24">
        <f>IFERROR((VLOOKUP($D91,'0. Control Panel'!$C$7:$F$16,4,FALSE)*('3. Product Benefit Input'!$F91+'3. Product Benefit Input'!I91)*'3. Product Benefit Input'!$L91)-(VLOOKUP($D91,'0. Control Panel'!$C$7:$F$16,4,FALSE)*('3. Product Benefit Input'!$F91+'3. Product Benefit Input'!I91)*'3. Product Benefit Input'!O91),0)</f>
        <v>0</v>
      </c>
      <c r="M91" s="24">
        <f>IFERROR((VLOOKUP($D91,'0. Control Panel'!$C$7:$F$16,4,FALSE)*('3. Product Benefit Input'!$F91+'3. Product Benefit Input'!J91)*'3. Product Benefit Input'!$L91)-(VLOOKUP($D91,'0. Control Panel'!$C$7:$F$16,4,FALSE)*('3. Product Benefit Input'!$F91+'3. Product Benefit Input'!J91)*'3. Product Benefit Input'!P91),0)</f>
        <v>0</v>
      </c>
      <c r="O91" s="24">
        <f>'3. Product Benefit Input'!T91</f>
        <v>50000</v>
      </c>
      <c r="P91" s="24">
        <f>'3. Product Benefit Input'!U91</f>
        <v>50000</v>
      </c>
      <c r="Q91" s="24">
        <f>'3. Product Benefit Input'!V91</f>
        <v>50000</v>
      </c>
      <c r="S91" s="24">
        <f t="shared" si="87"/>
        <v>50000</v>
      </c>
      <c r="T91" s="24">
        <f t="shared" si="84"/>
        <v>103000</v>
      </c>
      <c r="U91" s="24">
        <f t="shared" si="85"/>
        <v>156000</v>
      </c>
    </row>
    <row r="92" spans="1:21" x14ac:dyDescent="0.25">
      <c r="A92" t="str">
        <f t="shared" si="86"/>
        <v>Head OfficeP7</v>
      </c>
      <c r="C92" s="6">
        <f>IF(C91="-","-",IF(C91+1&gt;COUNTA('0. Control Panel'!$C$7:$C$16),"-",C91+1))</f>
        <v>8</v>
      </c>
      <c r="D92" s="16" t="str">
        <f>IF(C92="-","-",INDEX('0. Control Panel'!$B$6:$K$16,MATCH('3.1 Product Benefit Output'!$C92,'0. Control Panel'!$B$6:$B$16,0),MATCH(D$6,'0. Control Panel'!$B$6:$K$6,0)))</f>
        <v>Head Office</v>
      </c>
      <c r="E92" s="6"/>
      <c r="F92" s="2"/>
      <c r="G92" s="24">
        <f>IFERROR(-VLOOKUP($D92,'0. Control Panel'!$C$7:$F$16,4,FALSE)*(('3. Product Benefit Input'!$F92+'3. Product Benefit Input'!H92)*'3. Product Benefit Input'!$L92)+(VLOOKUP($D92,'0. Control Panel'!$C$7:$F$16,4,FALSE)*('3. Product Benefit Input'!$F92*'3. Product Benefit Input'!$L92)),0)</f>
        <v>0</v>
      </c>
      <c r="H92" s="24">
        <f>IFERROR(-VLOOKUP($D92,'0. Control Panel'!$C$7:$F$16,4,FALSE)*(('3. Product Benefit Input'!$F92+'3. Product Benefit Input'!I92)*'3. Product Benefit Input'!$L92)+(VLOOKUP($D92,'0. Control Panel'!$C$7:$F$16,4,FALSE)*('3. Product Benefit Input'!$F92*'3. Product Benefit Input'!$L92)),0)</f>
        <v>0</v>
      </c>
      <c r="I92" s="24">
        <f>IFERROR(-VLOOKUP($D92,'0. Control Panel'!$C$7:$F$16,4,FALSE)*(('3. Product Benefit Input'!$F92+'3. Product Benefit Input'!J92)*'3. Product Benefit Input'!$L92)+(VLOOKUP($D92,'0. Control Panel'!$C$7:$F$16,4,FALSE)*('3. Product Benefit Input'!$F92*'3. Product Benefit Input'!$L92)),0)</f>
        <v>0</v>
      </c>
      <c r="K92" s="24">
        <f>IFERROR((VLOOKUP($D92,'0. Control Panel'!$C$7:$F$16,4,FALSE)*('3. Product Benefit Input'!$F92+'3. Product Benefit Input'!H92)*'3. Product Benefit Input'!$L92)-(VLOOKUP($D92,'0. Control Panel'!$C$7:$F$16,4,FALSE)*('3. Product Benefit Input'!$F92+'3. Product Benefit Input'!H92)*'3. Product Benefit Input'!N92),0)</f>
        <v>0</v>
      </c>
      <c r="L92" s="24">
        <f>IFERROR((VLOOKUP($D92,'0. Control Panel'!$C$7:$F$16,4,FALSE)*('3. Product Benefit Input'!$F92+'3. Product Benefit Input'!I92)*'3. Product Benefit Input'!$L92)-(VLOOKUP($D92,'0. Control Panel'!$C$7:$F$16,4,FALSE)*('3. Product Benefit Input'!$F92+'3. Product Benefit Input'!I92)*'3. Product Benefit Input'!O92),0)</f>
        <v>0</v>
      </c>
      <c r="M92" s="24">
        <f>IFERROR((VLOOKUP($D92,'0. Control Panel'!$C$7:$F$16,4,FALSE)*('3. Product Benefit Input'!$F92+'3. Product Benefit Input'!J92)*'3. Product Benefit Input'!$L92)-(VLOOKUP($D92,'0. Control Panel'!$C$7:$F$16,4,FALSE)*('3. Product Benefit Input'!$F92+'3. Product Benefit Input'!J92)*'3. Product Benefit Input'!P92),0)</f>
        <v>0</v>
      </c>
      <c r="O92" s="24">
        <f>'3. Product Benefit Input'!T92</f>
        <v>0</v>
      </c>
      <c r="P92" s="24">
        <f>'3. Product Benefit Input'!U92</f>
        <v>0</v>
      </c>
      <c r="Q92" s="24">
        <f>'3. Product Benefit Input'!V92</f>
        <v>0</v>
      </c>
      <c r="S92" s="24">
        <f t="shared" si="87"/>
        <v>0</v>
      </c>
      <c r="T92" s="24">
        <f t="shared" si="84"/>
        <v>0</v>
      </c>
      <c r="U92" s="24">
        <f t="shared" si="85"/>
        <v>0</v>
      </c>
    </row>
    <row r="93" spans="1:21" x14ac:dyDescent="0.25">
      <c r="A93" t="str">
        <f t="shared" si="86"/>
        <v>-P7</v>
      </c>
      <c r="C93" s="6" t="str">
        <f>IF(C92="-","-",IF(C92+1&gt;COUNTA('0. Control Panel'!$C$7:$C$16),"-",C92+1))</f>
        <v>-</v>
      </c>
      <c r="D93" s="16" t="str">
        <f>IF(C93="-","-",INDEX('0. Control Panel'!$B$6:$K$16,MATCH('3.1 Product Benefit Output'!$C93,'0. Control Panel'!$B$6:$B$16,0),MATCH(D$6,'0. Control Panel'!$B$6:$K$6,0)))</f>
        <v>-</v>
      </c>
      <c r="E93" s="6"/>
      <c r="F93" s="2"/>
      <c r="G93" s="24">
        <f>IFERROR(-VLOOKUP($D93,'0. Control Panel'!$C$7:$F$16,4,FALSE)*(('3. Product Benefit Input'!$F93+'3. Product Benefit Input'!H93)*'3. Product Benefit Input'!$L93)+(VLOOKUP($D93,'0. Control Panel'!$C$7:$F$16,4,FALSE)*('3. Product Benefit Input'!$F93*'3. Product Benefit Input'!$L93)),0)</f>
        <v>0</v>
      </c>
      <c r="H93" s="24">
        <f>IFERROR(-VLOOKUP($D93,'0. Control Panel'!$C$7:$F$16,4,FALSE)*(('3. Product Benefit Input'!$F93+'3. Product Benefit Input'!I93)*'3. Product Benefit Input'!$L93)+(VLOOKUP($D93,'0. Control Panel'!$C$7:$F$16,4,FALSE)*('3. Product Benefit Input'!$F93*'3. Product Benefit Input'!$L93)),0)</f>
        <v>0</v>
      </c>
      <c r="I93" s="24">
        <f>IFERROR(-VLOOKUP($D93,'0. Control Panel'!$C$7:$F$16,4,FALSE)*(('3. Product Benefit Input'!$F93+'3. Product Benefit Input'!J93)*'3. Product Benefit Input'!$L93)+(VLOOKUP($D93,'0. Control Panel'!$C$7:$F$16,4,FALSE)*('3. Product Benefit Input'!$F93*'3. Product Benefit Input'!$L93)),0)</f>
        <v>0</v>
      </c>
      <c r="K93" s="24">
        <f>IFERROR((VLOOKUP($D93,'0. Control Panel'!$C$7:$F$16,4,FALSE)*('3. Product Benefit Input'!$F93+'3. Product Benefit Input'!H93)*'3. Product Benefit Input'!$L93)-(VLOOKUP($D93,'0. Control Panel'!$C$7:$F$16,4,FALSE)*('3. Product Benefit Input'!$F93+'3. Product Benefit Input'!H93)*'3. Product Benefit Input'!N93),0)</f>
        <v>0</v>
      </c>
      <c r="L93" s="24">
        <f>IFERROR((VLOOKUP($D93,'0. Control Panel'!$C$7:$F$16,4,FALSE)*('3. Product Benefit Input'!$F93+'3. Product Benefit Input'!I93)*'3. Product Benefit Input'!$L93)-(VLOOKUP($D93,'0. Control Panel'!$C$7:$F$16,4,FALSE)*('3. Product Benefit Input'!$F93+'3. Product Benefit Input'!I93)*'3. Product Benefit Input'!O93),0)</f>
        <v>0</v>
      </c>
      <c r="M93" s="24">
        <f>IFERROR((VLOOKUP($D93,'0. Control Panel'!$C$7:$F$16,4,FALSE)*('3. Product Benefit Input'!$F93+'3. Product Benefit Input'!J93)*'3. Product Benefit Input'!$L93)-(VLOOKUP($D93,'0. Control Panel'!$C$7:$F$16,4,FALSE)*('3. Product Benefit Input'!$F93+'3. Product Benefit Input'!J93)*'3. Product Benefit Input'!P93),0)</f>
        <v>0</v>
      </c>
      <c r="O93" s="24">
        <f>'3. Product Benefit Input'!T93</f>
        <v>0</v>
      </c>
      <c r="P93" s="24">
        <f>'3. Product Benefit Input'!U93</f>
        <v>0</v>
      </c>
      <c r="Q93" s="24">
        <f>'3. Product Benefit Input'!V93</f>
        <v>0</v>
      </c>
      <c r="S93" s="24">
        <f t="shared" si="87"/>
        <v>0</v>
      </c>
      <c r="T93" s="24">
        <f t="shared" si="84"/>
        <v>0</v>
      </c>
      <c r="U93" s="24">
        <f t="shared" si="85"/>
        <v>0</v>
      </c>
    </row>
    <row r="94" spans="1:21" x14ac:dyDescent="0.25">
      <c r="A94" t="str">
        <f t="shared" si="86"/>
        <v>-P7</v>
      </c>
      <c r="C94" s="7" t="str">
        <f>IF(C93="-","-",IF(C93+1&gt;COUNTA('0. Control Panel'!$C$7:$C$16),"-",C93+1))</f>
        <v>-</v>
      </c>
      <c r="D94" s="17" t="str">
        <f>IF(C94="-","-",INDEX('0. Control Panel'!$B$6:$K$16,MATCH('3.1 Product Benefit Output'!$C94,'0. Control Panel'!$B$6:$B$16,0),MATCH(D$6,'0. Control Panel'!$B$6:$K$6,0)))</f>
        <v>-</v>
      </c>
      <c r="E94" s="7"/>
      <c r="F94" s="2"/>
      <c r="G94" s="24">
        <f>IFERROR(-VLOOKUP($D94,'0. Control Panel'!$C$7:$F$16,4,FALSE)*(('3. Product Benefit Input'!$F94+'3. Product Benefit Input'!H94)*'3. Product Benefit Input'!$L94)+(VLOOKUP($D94,'0. Control Panel'!$C$7:$F$16,4,FALSE)*('3. Product Benefit Input'!$F94*'3. Product Benefit Input'!$L94)),0)</f>
        <v>0</v>
      </c>
      <c r="H94" s="24">
        <f>IFERROR(-VLOOKUP($D94,'0. Control Panel'!$C$7:$F$16,4,FALSE)*(('3. Product Benefit Input'!$F94+'3. Product Benefit Input'!I94)*'3. Product Benefit Input'!$L94)+(VLOOKUP($D94,'0. Control Panel'!$C$7:$F$16,4,FALSE)*('3. Product Benefit Input'!$F94*'3. Product Benefit Input'!$L94)),0)</f>
        <v>0</v>
      </c>
      <c r="I94" s="24">
        <f>IFERROR(-VLOOKUP($D94,'0. Control Panel'!$C$7:$F$16,4,FALSE)*(('3. Product Benefit Input'!$F94+'3. Product Benefit Input'!J94)*'3. Product Benefit Input'!$L94)+(VLOOKUP($D94,'0. Control Panel'!$C$7:$F$16,4,FALSE)*('3. Product Benefit Input'!$F94*'3. Product Benefit Input'!$L94)),0)</f>
        <v>0</v>
      </c>
      <c r="K94" s="24">
        <f>IFERROR((VLOOKUP($D94,'0. Control Panel'!$C$7:$F$16,4,FALSE)*('3. Product Benefit Input'!$F94+'3. Product Benefit Input'!H94)*'3. Product Benefit Input'!$L94)-(VLOOKUP($D94,'0. Control Panel'!$C$7:$F$16,4,FALSE)*('3. Product Benefit Input'!$F94+'3. Product Benefit Input'!H94)*'3. Product Benefit Input'!N94),0)</f>
        <v>0</v>
      </c>
      <c r="L94" s="24">
        <f>IFERROR((VLOOKUP($D94,'0. Control Panel'!$C$7:$F$16,4,FALSE)*('3. Product Benefit Input'!$F94+'3. Product Benefit Input'!I94)*'3. Product Benefit Input'!$L94)-(VLOOKUP($D94,'0. Control Panel'!$C$7:$F$16,4,FALSE)*('3. Product Benefit Input'!$F94+'3. Product Benefit Input'!I94)*'3. Product Benefit Input'!O94),0)</f>
        <v>0</v>
      </c>
      <c r="M94" s="24">
        <f>IFERROR((VLOOKUP($D94,'0. Control Panel'!$C$7:$F$16,4,FALSE)*('3. Product Benefit Input'!$F94+'3. Product Benefit Input'!J94)*'3. Product Benefit Input'!$L94)-(VLOOKUP($D94,'0. Control Panel'!$C$7:$F$16,4,FALSE)*('3. Product Benefit Input'!$F94+'3. Product Benefit Input'!J94)*'3. Product Benefit Input'!P94),0)</f>
        <v>0</v>
      </c>
      <c r="O94" s="24">
        <f>'3. Product Benefit Input'!T94</f>
        <v>0</v>
      </c>
      <c r="P94" s="24">
        <f>'3. Product Benefit Input'!U94</f>
        <v>0</v>
      </c>
      <c r="Q94" s="24">
        <f>'3. Product Benefit Input'!V94</f>
        <v>0</v>
      </c>
      <c r="S94" s="24">
        <f t="shared" si="87"/>
        <v>0</v>
      </c>
      <c r="T94" s="24">
        <f t="shared" si="84"/>
        <v>0</v>
      </c>
      <c r="U94" s="24">
        <f t="shared" si="85"/>
        <v>0</v>
      </c>
    </row>
    <row r="95" spans="1:21" ht="16.5" thickBot="1" x14ac:dyDescent="0.3">
      <c r="A95" s="22" t="str">
        <f>D95&amp;$C$84</f>
        <v>All Departments/FunctionsP7</v>
      </c>
      <c r="B95" s="22"/>
      <c r="C95" s="23"/>
      <c r="D95" s="27" t="str">
        <f>D82</f>
        <v>All Departments/Functions</v>
      </c>
      <c r="E95" s="23"/>
      <c r="F95" s="23"/>
      <c r="G95" s="28">
        <f>SUM(G85:G94)</f>
        <v>147000</v>
      </c>
      <c r="H95" s="28">
        <f t="shared" ref="H95" si="88">SUM(H85:H94)</f>
        <v>249000</v>
      </c>
      <c r="I95" s="28">
        <f t="shared" ref="I95" si="89">SUM(I85:I94)</f>
        <v>351000</v>
      </c>
      <c r="J95" s="23"/>
      <c r="K95" s="28">
        <f>SUM(K85:K94)</f>
        <v>0</v>
      </c>
      <c r="L95" s="28">
        <f t="shared" ref="L95" si="90">SUM(L85:L94)</f>
        <v>0</v>
      </c>
      <c r="M95" s="28">
        <f t="shared" ref="M95" si="91">SUM(M85:M94)</f>
        <v>0</v>
      </c>
      <c r="N95" s="29"/>
      <c r="O95" s="28">
        <f t="shared" ref="O95" si="92">SUM(O85:O94)</f>
        <v>50000</v>
      </c>
      <c r="P95" s="28">
        <f t="shared" ref="P95" si="93">SUM(P85:P94)</f>
        <v>50000</v>
      </c>
      <c r="Q95" s="28">
        <f t="shared" ref="Q95" si="94">SUM(Q85:Q94)</f>
        <v>50000</v>
      </c>
      <c r="R95" s="29"/>
      <c r="S95" s="28">
        <f t="shared" ref="S95" si="95">SUM(S85:S94)</f>
        <v>197000</v>
      </c>
      <c r="T95" s="28">
        <f t="shared" ref="T95" si="96">SUM(T85:T94)</f>
        <v>299000</v>
      </c>
      <c r="U95" s="28">
        <f t="shared" ref="U95" si="97">SUM(U85:U94)</f>
        <v>401000</v>
      </c>
    </row>
    <row r="96" spans="1:21" ht="16.5" thickTop="1" x14ac:dyDescent="0.25"/>
    <row r="97" spans="1:21" ht="15.95" customHeight="1" x14ac:dyDescent="0.25">
      <c r="C97" s="12" t="s">
        <v>29</v>
      </c>
      <c r="D97" s="30" t="str">
        <f>IF(INDEX('0. Control Panel'!$B$31:$C$41,MATCH('3.1 Product Benefit Output'!$C97,'0. Control Panel'!$B$31:$B$41,0),2)="","n/a",INDEX('0. Control Panel'!$B$31:$C$41,MATCH('3.1 Product Benefit Output'!$C97,'0. Control Panel'!$B$31:$B$41,0),2))</f>
        <v>n/a</v>
      </c>
      <c r="G97"/>
      <c r="H97"/>
      <c r="I97"/>
      <c r="J97"/>
      <c r="K97"/>
      <c r="L97"/>
      <c r="M97"/>
      <c r="N97"/>
      <c r="O97"/>
      <c r="P97"/>
      <c r="Q97"/>
      <c r="R97"/>
      <c r="S97"/>
      <c r="T97"/>
      <c r="U97"/>
    </row>
    <row r="98" spans="1:21" x14ac:dyDescent="0.25">
      <c r="A98" t="str">
        <f>D98&amp;$C$97</f>
        <v>ITP8</v>
      </c>
      <c r="C98" s="5">
        <v>1</v>
      </c>
      <c r="D98" s="15" t="str">
        <f>IF(C98="-","-",INDEX('0. Control Panel'!$B$6:$K$16,MATCH('3.1 Product Benefit Output'!$C98,'0. Control Panel'!$B$6:$B$16,0),MATCH(D$6,'0. Control Panel'!$B$6:$K$6,0)))</f>
        <v>IT</v>
      </c>
      <c r="E98" s="5"/>
      <c r="F98" s="2"/>
      <c r="G98" s="24">
        <f>IFERROR(-VLOOKUP($D98,'0. Control Panel'!$C$7:$F$16,4,FALSE)*(('3. Product Benefit Input'!$F98+'3. Product Benefit Input'!H98)*'3. Product Benefit Input'!$L98)+(VLOOKUP($D98,'0. Control Panel'!$C$7:$F$16,4,FALSE)*('3. Product Benefit Input'!$F98*'3. Product Benefit Input'!$L98)),0)</f>
        <v>0</v>
      </c>
      <c r="H98" s="24">
        <f>IFERROR(-VLOOKUP($D98,'0. Control Panel'!$C$7:$F$16,4,FALSE)*(('3. Product Benefit Input'!$F98+'3. Product Benefit Input'!I98)*'3. Product Benefit Input'!$L98)+(VLOOKUP($D98,'0. Control Panel'!$C$7:$F$16,4,FALSE)*('3. Product Benefit Input'!$F98*'3. Product Benefit Input'!$L98)),0)</f>
        <v>0</v>
      </c>
      <c r="I98" s="24">
        <f>IFERROR(-VLOOKUP($D98,'0. Control Panel'!$C$7:$F$16,4,FALSE)*(('3. Product Benefit Input'!$F98+'3. Product Benefit Input'!J98)*'3. Product Benefit Input'!$L98)+(VLOOKUP($D98,'0. Control Panel'!$C$7:$F$16,4,FALSE)*('3. Product Benefit Input'!$F98*'3. Product Benefit Input'!$L98)),0)</f>
        <v>0</v>
      </c>
      <c r="K98" s="24">
        <f>IFERROR((VLOOKUP($D98,'0. Control Panel'!$C$7:$F$16,4,FALSE)*('3. Product Benefit Input'!$F98+'3. Product Benefit Input'!H98)*'3. Product Benefit Input'!$L98)-(VLOOKUP($D98,'0. Control Panel'!$C$7:$F$16,4,FALSE)*('3. Product Benefit Input'!$F98+'3. Product Benefit Input'!H98)*'3. Product Benefit Input'!N98),0)</f>
        <v>0</v>
      </c>
      <c r="L98" s="24">
        <f>IFERROR((VLOOKUP($D98,'0. Control Panel'!$C$7:$F$16,4,FALSE)*('3. Product Benefit Input'!$F98+'3. Product Benefit Input'!I98)*'3. Product Benefit Input'!$L98)-(VLOOKUP($D98,'0. Control Panel'!$C$7:$F$16,4,FALSE)*('3. Product Benefit Input'!$F98+'3. Product Benefit Input'!I98)*'3. Product Benefit Input'!O98),0)</f>
        <v>0</v>
      </c>
      <c r="M98" s="24">
        <f>IFERROR((VLOOKUP($D98,'0. Control Panel'!$C$7:$F$16,4,FALSE)*('3. Product Benefit Input'!$F98+'3. Product Benefit Input'!J98)*'3. Product Benefit Input'!$L98)-(VLOOKUP($D98,'0. Control Panel'!$C$7:$F$16,4,FALSE)*('3. Product Benefit Input'!$F98+'3. Product Benefit Input'!J98)*'3. Product Benefit Input'!P98),0)</f>
        <v>0</v>
      </c>
      <c r="O98" s="24">
        <f>'3. Product Benefit Input'!T98</f>
        <v>0</v>
      </c>
      <c r="P98" s="24">
        <f>IFERROR(('3. Product Benefit Input'!O98-'3. Product Benefit Input'!$L98)/'3. Product Benefit Input'!$L98,0)</f>
        <v>0</v>
      </c>
      <c r="Q98" s="24">
        <f>IFERROR(('3. Product Benefit Input'!P98-'3. Product Benefit Input'!$L98)/'3. Product Benefit Input'!$L98,0)</f>
        <v>0</v>
      </c>
      <c r="S98" s="24">
        <f t="shared" ref="S98:S107" si="98">SUM(G98,K98,O98)</f>
        <v>0</v>
      </c>
      <c r="T98" s="24">
        <f t="shared" ref="T98:T107" si="99">SUM(H98,L98,P98)</f>
        <v>0</v>
      </c>
      <c r="U98" s="24">
        <f t="shared" ref="U98:U107" si="100">SUM(I98,M98,Q98)</f>
        <v>0</v>
      </c>
    </row>
    <row r="99" spans="1:21" x14ac:dyDescent="0.25">
      <c r="A99" t="str">
        <f t="shared" ref="A99:A107" si="101">D99&amp;$C$97</f>
        <v>SalesP8</v>
      </c>
      <c r="C99" s="6">
        <f>IF(C98="-","-",IF(C98+1&gt;COUNTA('0. Control Panel'!$C$7:$C$16),"-",C98+1))</f>
        <v>2</v>
      </c>
      <c r="D99" s="16" t="str">
        <f>IF(C99="-","-",INDEX('0. Control Panel'!$B$6:$K$16,MATCH('3.1 Product Benefit Output'!$C99,'0. Control Panel'!$B$6:$B$16,0),MATCH(D$6,'0. Control Panel'!$B$6:$K$6,0)))</f>
        <v>Sales</v>
      </c>
      <c r="E99" s="6"/>
      <c r="F99" s="2"/>
      <c r="G99" s="24">
        <f>IFERROR(-VLOOKUP($D99,'0. Control Panel'!$C$7:$F$16,4,FALSE)*(('3. Product Benefit Input'!$F99+'3. Product Benefit Input'!H99)*'3. Product Benefit Input'!$L99)+(VLOOKUP($D99,'0. Control Panel'!$C$7:$F$16,4,FALSE)*('3. Product Benefit Input'!$F99*'3. Product Benefit Input'!$L99)),0)</f>
        <v>0</v>
      </c>
      <c r="H99" s="24">
        <f>IFERROR(-VLOOKUP($D99,'0. Control Panel'!$C$7:$F$16,4,FALSE)*(('3. Product Benefit Input'!$F99+'3. Product Benefit Input'!I99)*'3. Product Benefit Input'!$L99)+(VLOOKUP($D99,'0. Control Panel'!$C$7:$F$16,4,FALSE)*('3. Product Benefit Input'!$F99*'3. Product Benefit Input'!$L99)),0)</f>
        <v>0</v>
      </c>
      <c r="I99" s="24">
        <f>IFERROR(-VLOOKUP($D99,'0. Control Panel'!$C$7:$F$16,4,FALSE)*(('3. Product Benefit Input'!$F99+'3. Product Benefit Input'!J99)*'3. Product Benefit Input'!$L99)+(VLOOKUP($D99,'0. Control Panel'!$C$7:$F$16,4,FALSE)*('3. Product Benefit Input'!$F99*'3. Product Benefit Input'!$L99)),0)</f>
        <v>0</v>
      </c>
      <c r="K99" s="24">
        <f>IFERROR((VLOOKUP($D99,'0. Control Panel'!$C$7:$F$16,4,FALSE)*('3. Product Benefit Input'!$F99+'3. Product Benefit Input'!H99)*'3. Product Benefit Input'!$L99)-(VLOOKUP($D99,'0. Control Panel'!$C$7:$F$16,4,FALSE)*('3. Product Benefit Input'!$F99+'3. Product Benefit Input'!H99)*'3. Product Benefit Input'!N99),0)</f>
        <v>0</v>
      </c>
      <c r="L99" s="24">
        <f>IFERROR((VLOOKUP($D99,'0. Control Panel'!$C$7:$F$16,4,FALSE)*('3. Product Benefit Input'!$F99+'3. Product Benefit Input'!I99)*'3. Product Benefit Input'!$L99)-(VLOOKUP($D99,'0. Control Panel'!$C$7:$F$16,4,FALSE)*('3. Product Benefit Input'!$F99+'3. Product Benefit Input'!I99)*'3. Product Benefit Input'!O99),0)</f>
        <v>0</v>
      </c>
      <c r="M99" s="24">
        <f>IFERROR((VLOOKUP($D99,'0. Control Panel'!$C$7:$F$16,4,FALSE)*('3. Product Benefit Input'!$F99+'3. Product Benefit Input'!J99)*'3. Product Benefit Input'!$L99)-(VLOOKUP($D99,'0. Control Panel'!$C$7:$F$16,4,FALSE)*('3. Product Benefit Input'!$F99+'3. Product Benefit Input'!J99)*'3. Product Benefit Input'!P99),0)</f>
        <v>0</v>
      </c>
      <c r="O99" s="24">
        <f>'3. Product Benefit Input'!T99</f>
        <v>0</v>
      </c>
      <c r="P99" s="24">
        <f>IFERROR(('3. Product Benefit Input'!O99-'3. Product Benefit Input'!$L99)/'3. Product Benefit Input'!$L99,0)</f>
        <v>0</v>
      </c>
      <c r="Q99" s="24">
        <f>IFERROR(('3. Product Benefit Input'!P99-'3. Product Benefit Input'!$L99)/'3. Product Benefit Input'!$L99,0)</f>
        <v>0</v>
      </c>
      <c r="S99" s="24">
        <f t="shared" si="98"/>
        <v>0</v>
      </c>
      <c r="T99" s="24">
        <f t="shared" si="99"/>
        <v>0</v>
      </c>
      <c r="U99" s="24">
        <f t="shared" si="100"/>
        <v>0</v>
      </c>
    </row>
    <row r="100" spans="1:21" x14ac:dyDescent="0.25">
      <c r="A100" t="str">
        <f t="shared" si="101"/>
        <v>Product AP8</v>
      </c>
      <c r="C100" s="6">
        <f>IF(C99="-","-",IF(C99+1&gt;COUNTA('0. Control Panel'!$C$7:$C$16),"-",C99+1))</f>
        <v>3</v>
      </c>
      <c r="D100" s="16" t="str">
        <f>IF(C100="-","-",INDEX('0. Control Panel'!$B$6:$K$16,MATCH('3.1 Product Benefit Output'!$C100,'0. Control Panel'!$B$6:$B$16,0),MATCH(D$6,'0. Control Panel'!$B$6:$K$6,0)))</f>
        <v>Product A</v>
      </c>
      <c r="E100" s="6"/>
      <c r="F100" s="2"/>
      <c r="G100" s="24">
        <f>IFERROR(-VLOOKUP($D100,'0. Control Panel'!$C$7:$F$16,4,FALSE)*(('3. Product Benefit Input'!$F100+'3. Product Benefit Input'!H100)*'3. Product Benefit Input'!$L100)+(VLOOKUP($D100,'0. Control Panel'!$C$7:$F$16,4,FALSE)*('3. Product Benefit Input'!$F100*'3. Product Benefit Input'!$L100)),0)</f>
        <v>0</v>
      </c>
      <c r="H100" s="24">
        <f>IFERROR(-VLOOKUP($D100,'0. Control Panel'!$C$7:$F$16,4,FALSE)*(('3. Product Benefit Input'!$F100+'3. Product Benefit Input'!I100)*'3. Product Benefit Input'!$L100)+(VLOOKUP($D100,'0. Control Panel'!$C$7:$F$16,4,FALSE)*('3. Product Benefit Input'!$F100*'3. Product Benefit Input'!$L100)),0)</f>
        <v>0</v>
      </c>
      <c r="I100" s="24">
        <f>IFERROR(-VLOOKUP($D100,'0. Control Panel'!$C$7:$F$16,4,FALSE)*(('3. Product Benefit Input'!$F100+'3. Product Benefit Input'!J100)*'3. Product Benefit Input'!$L100)+(VLOOKUP($D100,'0. Control Panel'!$C$7:$F$16,4,FALSE)*('3. Product Benefit Input'!$F100*'3. Product Benefit Input'!$L100)),0)</f>
        <v>0</v>
      </c>
      <c r="K100" s="24">
        <f>IFERROR((VLOOKUP($D100,'0. Control Panel'!$C$7:$F$16,4,FALSE)*('3. Product Benefit Input'!$F100+'3. Product Benefit Input'!H100)*'3. Product Benefit Input'!$L100)-(VLOOKUP($D100,'0. Control Panel'!$C$7:$F$16,4,FALSE)*('3. Product Benefit Input'!$F100+'3. Product Benefit Input'!H100)*'3. Product Benefit Input'!N100),0)</f>
        <v>0</v>
      </c>
      <c r="L100" s="24">
        <f>IFERROR((VLOOKUP($D100,'0. Control Panel'!$C$7:$F$16,4,FALSE)*('3. Product Benefit Input'!$F100+'3. Product Benefit Input'!I100)*'3. Product Benefit Input'!$L100)-(VLOOKUP($D100,'0. Control Panel'!$C$7:$F$16,4,FALSE)*('3. Product Benefit Input'!$F100+'3. Product Benefit Input'!I100)*'3. Product Benefit Input'!O100),0)</f>
        <v>0</v>
      </c>
      <c r="M100" s="24">
        <f>IFERROR((VLOOKUP($D100,'0. Control Panel'!$C$7:$F$16,4,FALSE)*('3. Product Benefit Input'!$F100+'3. Product Benefit Input'!J100)*'3. Product Benefit Input'!$L100)-(VLOOKUP($D100,'0. Control Panel'!$C$7:$F$16,4,FALSE)*('3. Product Benefit Input'!$F100+'3. Product Benefit Input'!J100)*'3. Product Benefit Input'!P100),0)</f>
        <v>0</v>
      </c>
      <c r="O100" s="24">
        <f>'3. Product Benefit Input'!T100</f>
        <v>0</v>
      </c>
      <c r="P100" s="24">
        <f>IFERROR(('3. Product Benefit Input'!O100-'3. Product Benefit Input'!$L100)/'3. Product Benefit Input'!$L100,0)</f>
        <v>0</v>
      </c>
      <c r="Q100" s="24">
        <f>IFERROR(('3. Product Benefit Input'!P100-'3. Product Benefit Input'!$L100)/'3. Product Benefit Input'!$L100,0)</f>
        <v>0</v>
      </c>
      <c r="S100" s="24">
        <f t="shared" si="98"/>
        <v>0</v>
      </c>
      <c r="T100" s="24">
        <f t="shared" si="99"/>
        <v>0</v>
      </c>
      <c r="U100" s="24">
        <f t="shared" si="100"/>
        <v>0</v>
      </c>
    </row>
    <row r="101" spans="1:21" x14ac:dyDescent="0.25">
      <c r="A101" t="str">
        <f t="shared" si="101"/>
        <v>Product BP8</v>
      </c>
      <c r="C101" s="6">
        <f>IF(C100="-","-",IF(C100+1&gt;COUNTA('0. Control Panel'!$C$7:$C$16),"-",C100+1))</f>
        <v>4</v>
      </c>
      <c r="D101" s="16" t="str">
        <f>IF(C101="-","-",INDEX('0. Control Panel'!$B$6:$K$16,MATCH('3.1 Product Benefit Output'!$C101,'0. Control Panel'!$B$6:$B$16,0),MATCH(D$6,'0. Control Panel'!$B$6:$K$6,0)))</f>
        <v>Product B</v>
      </c>
      <c r="E101" s="6"/>
      <c r="F101" s="2"/>
      <c r="G101" s="24">
        <f>IFERROR(-VLOOKUP($D101,'0. Control Panel'!$C$7:$F$16,4,FALSE)*(('3. Product Benefit Input'!$F101+'3. Product Benefit Input'!H101)*'3. Product Benefit Input'!$L101)+(VLOOKUP($D101,'0. Control Panel'!$C$7:$F$16,4,FALSE)*('3. Product Benefit Input'!$F101*'3. Product Benefit Input'!$L101)),0)</f>
        <v>0</v>
      </c>
      <c r="H101" s="24">
        <f>IFERROR(-VLOOKUP($D101,'0. Control Panel'!$C$7:$F$16,4,FALSE)*(('3. Product Benefit Input'!$F101+'3. Product Benefit Input'!I101)*'3. Product Benefit Input'!$L101)+(VLOOKUP($D101,'0. Control Panel'!$C$7:$F$16,4,FALSE)*('3. Product Benefit Input'!$F101*'3. Product Benefit Input'!$L101)),0)</f>
        <v>0</v>
      </c>
      <c r="I101" s="24">
        <f>IFERROR(-VLOOKUP($D101,'0. Control Panel'!$C$7:$F$16,4,FALSE)*(('3. Product Benefit Input'!$F101+'3. Product Benefit Input'!J101)*'3. Product Benefit Input'!$L101)+(VLOOKUP($D101,'0. Control Panel'!$C$7:$F$16,4,FALSE)*('3. Product Benefit Input'!$F101*'3. Product Benefit Input'!$L101)),0)</f>
        <v>0</v>
      </c>
      <c r="K101" s="24">
        <f>IFERROR((VLOOKUP($D101,'0. Control Panel'!$C$7:$F$16,4,FALSE)*('3. Product Benefit Input'!$F101+'3. Product Benefit Input'!H101)*'3. Product Benefit Input'!$L101)-(VLOOKUP($D101,'0. Control Panel'!$C$7:$F$16,4,FALSE)*('3. Product Benefit Input'!$F101+'3. Product Benefit Input'!H101)*'3. Product Benefit Input'!N101),0)</f>
        <v>0</v>
      </c>
      <c r="L101" s="24">
        <f>IFERROR((VLOOKUP($D101,'0. Control Panel'!$C$7:$F$16,4,FALSE)*('3. Product Benefit Input'!$F101+'3. Product Benefit Input'!I101)*'3. Product Benefit Input'!$L101)-(VLOOKUP($D101,'0. Control Panel'!$C$7:$F$16,4,FALSE)*('3. Product Benefit Input'!$F101+'3. Product Benefit Input'!I101)*'3. Product Benefit Input'!O101),0)</f>
        <v>0</v>
      </c>
      <c r="M101" s="24">
        <f>IFERROR((VLOOKUP($D101,'0. Control Panel'!$C$7:$F$16,4,FALSE)*('3. Product Benefit Input'!$F101+'3. Product Benefit Input'!J101)*'3. Product Benefit Input'!$L101)-(VLOOKUP($D101,'0. Control Panel'!$C$7:$F$16,4,FALSE)*('3. Product Benefit Input'!$F101+'3. Product Benefit Input'!J101)*'3. Product Benefit Input'!P101),0)</f>
        <v>0</v>
      </c>
      <c r="O101" s="24">
        <f>'3. Product Benefit Input'!T101</f>
        <v>0</v>
      </c>
      <c r="P101" s="24">
        <f>IFERROR(('3. Product Benefit Input'!O101-'3. Product Benefit Input'!$L101)/'3. Product Benefit Input'!$L101,0)</f>
        <v>0</v>
      </c>
      <c r="Q101" s="24">
        <f>IFERROR(('3. Product Benefit Input'!P101-'3. Product Benefit Input'!$L101)/'3. Product Benefit Input'!$L101,0)</f>
        <v>0</v>
      </c>
      <c r="S101" s="24">
        <f t="shared" si="98"/>
        <v>0</v>
      </c>
      <c r="T101" s="24">
        <f t="shared" si="99"/>
        <v>0</v>
      </c>
      <c r="U101" s="24">
        <f t="shared" si="100"/>
        <v>0</v>
      </c>
    </row>
    <row r="102" spans="1:21" x14ac:dyDescent="0.25">
      <c r="A102" t="str">
        <f t="shared" si="101"/>
        <v>R&amp;DP8</v>
      </c>
      <c r="C102" s="6">
        <f>IF(C101="-","-",IF(C101+1&gt;COUNTA('0. Control Panel'!$C$7:$C$16),"-",C101+1))</f>
        <v>5</v>
      </c>
      <c r="D102" s="16" t="str">
        <f>IF(C102="-","-",INDEX('0. Control Panel'!$B$6:$K$16,MATCH('3.1 Product Benefit Output'!$C102,'0. Control Panel'!$B$6:$B$16,0),MATCH(D$6,'0. Control Panel'!$B$6:$K$6,0)))</f>
        <v>R&amp;D</v>
      </c>
      <c r="E102" s="6"/>
      <c r="F102" s="2"/>
      <c r="G102" s="24">
        <f>IFERROR(-VLOOKUP($D102,'0. Control Panel'!$C$7:$F$16,4,FALSE)*(('3. Product Benefit Input'!$F102+'3. Product Benefit Input'!H102)*'3. Product Benefit Input'!$L102)+(VLOOKUP($D102,'0. Control Panel'!$C$7:$F$16,4,FALSE)*('3. Product Benefit Input'!$F102*'3. Product Benefit Input'!$L102)),0)</f>
        <v>0</v>
      </c>
      <c r="H102" s="24">
        <f>IFERROR(-VLOOKUP($D102,'0. Control Panel'!$C$7:$F$16,4,FALSE)*(('3. Product Benefit Input'!$F102+'3. Product Benefit Input'!I102)*'3. Product Benefit Input'!$L102)+(VLOOKUP($D102,'0. Control Panel'!$C$7:$F$16,4,FALSE)*('3. Product Benefit Input'!$F102*'3. Product Benefit Input'!$L102)),0)</f>
        <v>0</v>
      </c>
      <c r="I102" s="24">
        <f>IFERROR(-VLOOKUP($D102,'0. Control Panel'!$C$7:$F$16,4,FALSE)*(('3. Product Benefit Input'!$F102+'3. Product Benefit Input'!J102)*'3. Product Benefit Input'!$L102)+(VLOOKUP($D102,'0. Control Panel'!$C$7:$F$16,4,FALSE)*('3. Product Benefit Input'!$F102*'3. Product Benefit Input'!$L102)),0)</f>
        <v>0</v>
      </c>
      <c r="K102" s="24">
        <f>IFERROR((VLOOKUP($D102,'0. Control Panel'!$C$7:$F$16,4,FALSE)*('3. Product Benefit Input'!$F102+'3. Product Benefit Input'!H102)*'3. Product Benefit Input'!$L102)-(VLOOKUP($D102,'0. Control Panel'!$C$7:$F$16,4,FALSE)*('3. Product Benefit Input'!$F102+'3. Product Benefit Input'!H102)*'3. Product Benefit Input'!N102),0)</f>
        <v>0</v>
      </c>
      <c r="L102" s="24">
        <f>IFERROR((VLOOKUP($D102,'0. Control Panel'!$C$7:$F$16,4,FALSE)*('3. Product Benefit Input'!$F102+'3. Product Benefit Input'!I102)*'3. Product Benefit Input'!$L102)-(VLOOKUP($D102,'0. Control Panel'!$C$7:$F$16,4,FALSE)*('3. Product Benefit Input'!$F102+'3. Product Benefit Input'!I102)*'3. Product Benefit Input'!O102),0)</f>
        <v>0</v>
      </c>
      <c r="M102" s="24">
        <f>IFERROR((VLOOKUP($D102,'0. Control Panel'!$C$7:$F$16,4,FALSE)*('3. Product Benefit Input'!$F102+'3. Product Benefit Input'!J102)*'3. Product Benefit Input'!$L102)-(VLOOKUP($D102,'0. Control Panel'!$C$7:$F$16,4,FALSE)*('3. Product Benefit Input'!$F102+'3. Product Benefit Input'!J102)*'3. Product Benefit Input'!P102),0)</f>
        <v>0</v>
      </c>
      <c r="O102" s="24">
        <f>'3. Product Benefit Input'!T102</f>
        <v>0</v>
      </c>
      <c r="P102" s="24">
        <f>IFERROR(('3. Product Benefit Input'!O102-'3. Product Benefit Input'!$L102)/'3. Product Benefit Input'!$L102,0)</f>
        <v>0</v>
      </c>
      <c r="Q102" s="24">
        <f>IFERROR(('3. Product Benefit Input'!P102-'3. Product Benefit Input'!$L102)/'3. Product Benefit Input'!$L102,0)</f>
        <v>0</v>
      </c>
      <c r="S102" s="24">
        <f t="shared" si="98"/>
        <v>0</v>
      </c>
      <c r="T102" s="24">
        <f t="shared" si="99"/>
        <v>0</v>
      </c>
      <c r="U102" s="24">
        <f t="shared" si="100"/>
        <v>0</v>
      </c>
    </row>
    <row r="103" spans="1:21" x14ac:dyDescent="0.25">
      <c r="A103" t="str">
        <f t="shared" si="101"/>
        <v>HRP8</v>
      </c>
      <c r="C103" s="6">
        <f>IF(C102="-","-",IF(C102+1&gt;COUNTA('0. Control Panel'!$C$7:$C$16),"-",C102+1))</f>
        <v>6</v>
      </c>
      <c r="D103" s="16" t="str">
        <f>IF(C103="-","-",INDEX('0. Control Panel'!$B$6:$K$16,MATCH('3.1 Product Benefit Output'!$C103,'0. Control Panel'!$B$6:$B$16,0),MATCH(D$6,'0. Control Panel'!$B$6:$K$6,0)))</f>
        <v>HR</v>
      </c>
      <c r="E103" s="6"/>
      <c r="F103" s="2"/>
      <c r="G103" s="24">
        <f>IFERROR(-VLOOKUP($D103,'0. Control Panel'!$C$7:$F$16,4,FALSE)*(('3. Product Benefit Input'!$F103+'3. Product Benefit Input'!H103)*'3. Product Benefit Input'!$L103)+(VLOOKUP($D103,'0. Control Panel'!$C$7:$F$16,4,FALSE)*('3. Product Benefit Input'!$F103*'3. Product Benefit Input'!$L103)),0)</f>
        <v>0</v>
      </c>
      <c r="H103" s="24">
        <f>IFERROR(-VLOOKUP($D103,'0. Control Panel'!$C$7:$F$16,4,FALSE)*(('3. Product Benefit Input'!$F103+'3. Product Benefit Input'!I103)*'3. Product Benefit Input'!$L103)+(VLOOKUP($D103,'0. Control Panel'!$C$7:$F$16,4,FALSE)*('3. Product Benefit Input'!$F103*'3. Product Benefit Input'!$L103)),0)</f>
        <v>0</v>
      </c>
      <c r="I103" s="24">
        <f>IFERROR(-VLOOKUP($D103,'0. Control Panel'!$C$7:$F$16,4,FALSE)*(('3. Product Benefit Input'!$F103+'3. Product Benefit Input'!J103)*'3. Product Benefit Input'!$L103)+(VLOOKUP($D103,'0. Control Panel'!$C$7:$F$16,4,FALSE)*('3. Product Benefit Input'!$F103*'3. Product Benefit Input'!$L103)),0)</f>
        <v>0</v>
      </c>
      <c r="K103" s="24">
        <f>IFERROR((VLOOKUP($D103,'0. Control Panel'!$C$7:$F$16,4,FALSE)*('3. Product Benefit Input'!$F103+'3. Product Benefit Input'!H103)*'3. Product Benefit Input'!$L103)-(VLOOKUP($D103,'0. Control Panel'!$C$7:$F$16,4,FALSE)*('3. Product Benefit Input'!$F103+'3. Product Benefit Input'!H103)*'3. Product Benefit Input'!N103),0)</f>
        <v>0</v>
      </c>
      <c r="L103" s="24">
        <f>IFERROR((VLOOKUP($D103,'0. Control Panel'!$C$7:$F$16,4,FALSE)*('3. Product Benefit Input'!$F103+'3. Product Benefit Input'!I103)*'3. Product Benefit Input'!$L103)-(VLOOKUP($D103,'0. Control Panel'!$C$7:$F$16,4,FALSE)*('3. Product Benefit Input'!$F103+'3. Product Benefit Input'!I103)*'3. Product Benefit Input'!O103),0)</f>
        <v>0</v>
      </c>
      <c r="M103" s="24">
        <f>IFERROR((VLOOKUP($D103,'0. Control Panel'!$C$7:$F$16,4,FALSE)*('3. Product Benefit Input'!$F103+'3. Product Benefit Input'!J103)*'3. Product Benefit Input'!$L103)-(VLOOKUP($D103,'0. Control Panel'!$C$7:$F$16,4,FALSE)*('3. Product Benefit Input'!$F103+'3. Product Benefit Input'!J103)*'3. Product Benefit Input'!P103),0)</f>
        <v>0</v>
      </c>
      <c r="O103" s="24">
        <f>'3. Product Benefit Input'!T103</f>
        <v>0</v>
      </c>
      <c r="P103" s="24">
        <f>IFERROR(('3. Product Benefit Input'!O103-'3. Product Benefit Input'!$L103)/'3. Product Benefit Input'!$L103,0)</f>
        <v>0</v>
      </c>
      <c r="Q103" s="24">
        <f>IFERROR(('3. Product Benefit Input'!P103-'3. Product Benefit Input'!$L103)/'3. Product Benefit Input'!$L103,0)</f>
        <v>0</v>
      </c>
      <c r="S103" s="24">
        <f t="shared" si="98"/>
        <v>0</v>
      </c>
      <c r="T103" s="24">
        <f t="shared" si="99"/>
        <v>0</v>
      </c>
      <c r="U103" s="24">
        <f t="shared" si="100"/>
        <v>0</v>
      </c>
    </row>
    <row r="104" spans="1:21" x14ac:dyDescent="0.25">
      <c r="A104" t="str">
        <f t="shared" si="101"/>
        <v>FinanceP8</v>
      </c>
      <c r="C104" s="6">
        <f>IF(C103="-","-",IF(C103+1&gt;COUNTA('0. Control Panel'!$C$7:$C$16),"-",C103+1))</f>
        <v>7</v>
      </c>
      <c r="D104" s="16" t="str">
        <f>IF(C104="-","-",INDEX('0. Control Panel'!$B$6:$K$16,MATCH('3.1 Product Benefit Output'!$C104,'0. Control Panel'!$B$6:$B$16,0),MATCH(D$6,'0. Control Panel'!$B$6:$K$6,0)))</f>
        <v>Finance</v>
      </c>
      <c r="E104" s="6"/>
      <c r="F104" s="2"/>
      <c r="G104" s="24">
        <f>IFERROR(-VLOOKUP($D104,'0. Control Panel'!$C$7:$F$16,4,FALSE)*(('3. Product Benefit Input'!$F104+'3. Product Benefit Input'!H104)*'3. Product Benefit Input'!$L104)+(VLOOKUP($D104,'0. Control Panel'!$C$7:$F$16,4,FALSE)*('3. Product Benefit Input'!$F104*'3. Product Benefit Input'!$L104)),0)</f>
        <v>0</v>
      </c>
      <c r="H104" s="24">
        <f>IFERROR(-VLOOKUP($D104,'0. Control Panel'!$C$7:$F$16,4,FALSE)*(('3. Product Benefit Input'!$F104+'3. Product Benefit Input'!I104)*'3. Product Benefit Input'!$L104)+(VLOOKUP($D104,'0. Control Panel'!$C$7:$F$16,4,FALSE)*('3. Product Benefit Input'!$F104*'3. Product Benefit Input'!$L104)),0)</f>
        <v>0</v>
      </c>
      <c r="I104" s="24">
        <f>IFERROR(-VLOOKUP($D104,'0. Control Panel'!$C$7:$F$16,4,FALSE)*(('3. Product Benefit Input'!$F104+'3. Product Benefit Input'!J104)*'3. Product Benefit Input'!$L104)+(VLOOKUP($D104,'0. Control Panel'!$C$7:$F$16,4,FALSE)*('3. Product Benefit Input'!$F104*'3. Product Benefit Input'!$L104)),0)</f>
        <v>0</v>
      </c>
      <c r="K104" s="24">
        <f>IFERROR((VLOOKUP($D104,'0. Control Panel'!$C$7:$F$16,4,FALSE)*('3. Product Benefit Input'!$F104+'3. Product Benefit Input'!H104)*'3. Product Benefit Input'!$L104)-(VLOOKUP($D104,'0. Control Panel'!$C$7:$F$16,4,FALSE)*('3. Product Benefit Input'!$F104+'3. Product Benefit Input'!H104)*'3. Product Benefit Input'!N104),0)</f>
        <v>0</v>
      </c>
      <c r="L104" s="24">
        <f>IFERROR((VLOOKUP($D104,'0. Control Panel'!$C$7:$F$16,4,FALSE)*('3. Product Benefit Input'!$F104+'3. Product Benefit Input'!I104)*'3. Product Benefit Input'!$L104)-(VLOOKUP($D104,'0. Control Panel'!$C$7:$F$16,4,FALSE)*('3. Product Benefit Input'!$F104+'3. Product Benefit Input'!I104)*'3. Product Benefit Input'!O104),0)</f>
        <v>0</v>
      </c>
      <c r="M104" s="24">
        <f>IFERROR((VLOOKUP($D104,'0. Control Panel'!$C$7:$F$16,4,FALSE)*('3. Product Benefit Input'!$F104+'3. Product Benefit Input'!J104)*'3. Product Benefit Input'!$L104)-(VLOOKUP($D104,'0. Control Panel'!$C$7:$F$16,4,FALSE)*('3. Product Benefit Input'!$F104+'3. Product Benefit Input'!J104)*'3. Product Benefit Input'!P104),0)</f>
        <v>0</v>
      </c>
      <c r="O104" s="24">
        <f>'3. Product Benefit Input'!T104</f>
        <v>0</v>
      </c>
      <c r="P104" s="24">
        <f>IFERROR(('3. Product Benefit Input'!O104-'3. Product Benefit Input'!$L104)/'3. Product Benefit Input'!$L104,0)</f>
        <v>0</v>
      </c>
      <c r="Q104" s="24">
        <f>IFERROR(('3. Product Benefit Input'!P104-'3. Product Benefit Input'!$L104)/'3. Product Benefit Input'!$L104,0)</f>
        <v>0</v>
      </c>
      <c r="S104" s="24">
        <f t="shared" si="98"/>
        <v>0</v>
      </c>
      <c r="T104" s="24">
        <f t="shared" si="99"/>
        <v>0</v>
      </c>
      <c r="U104" s="24">
        <f t="shared" si="100"/>
        <v>0</v>
      </c>
    </row>
    <row r="105" spans="1:21" x14ac:dyDescent="0.25">
      <c r="A105" t="str">
        <f t="shared" si="101"/>
        <v>Head OfficeP8</v>
      </c>
      <c r="C105" s="6">
        <f>IF(C104="-","-",IF(C104+1&gt;COUNTA('0. Control Panel'!$C$7:$C$16),"-",C104+1))</f>
        <v>8</v>
      </c>
      <c r="D105" s="16" t="str">
        <f>IF(C105="-","-",INDEX('0. Control Panel'!$B$6:$K$16,MATCH('3.1 Product Benefit Output'!$C105,'0. Control Panel'!$B$6:$B$16,0),MATCH(D$6,'0. Control Panel'!$B$6:$K$6,0)))</f>
        <v>Head Office</v>
      </c>
      <c r="E105" s="6"/>
      <c r="F105" s="2"/>
      <c r="G105" s="24">
        <f>IFERROR(-VLOOKUP($D105,'0. Control Panel'!$C$7:$F$16,4,FALSE)*(('3. Product Benefit Input'!$F105+'3. Product Benefit Input'!H105)*'3. Product Benefit Input'!$L105)+(VLOOKUP($D105,'0. Control Panel'!$C$7:$F$16,4,FALSE)*('3. Product Benefit Input'!$F105*'3. Product Benefit Input'!$L105)),0)</f>
        <v>0</v>
      </c>
      <c r="H105" s="24">
        <f>IFERROR(-VLOOKUP($D105,'0. Control Panel'!$C$7:$F$16,4,FALSE)*(('3. Product Benefit Input'!$F105+'3. Product Benefit Input'!I105)*'3. Product Benefit Input'!$L105)+(VLOOKUP($D105,'0. Control Panel'!$C$7:$F$16,4,FALSE)*('3. Product Benefit Input'!$F105*'3. Product Benefit Input'!$L105)),0)</f>
        <v>0</v>
      </c>
      <c r="I105" s="24">
        <f>IFERROR(-VLOOKUP($D105,'0. Control Panel'!$C$7:$F$16,4,FALSE)*(('3. Product Benefit Input'!$F105+'3. Product Benefit Input'!J105)*'3. Product Benefit Input'!$L105)+(VLOOKUP($D105,'0. Control Panel'!$C$7:$F$16,4,FALSE)*('3. Product Benefit Input'!$F105*'3. Product Benefit Input'!$L105)),0)</f>
        <v>0</v>
      </c>
      <c r="K105" s="24">
        <f>IFERROR((VLOOKUP($D105,'0. Control Panel'!$C$7:$F$16,4,FALSE)*('3. Product Benefit Input'!$F105+'3. Product Benefit Input'!H105)*'3. Product Benefit Input'!$L105)-(VLOOKUP($D105,'0. Control Panel'!$C$7:$F$16,4,FALSE)*('3. Product Benefit Input'!$F105+'3. Product Benefit Input'!H105)*'3. Product Benefit Input'!N105),0)</f>
        <v>0</v>
      </c>
      <c r="L105" s="24">
        <f>IFERROR((VLOOKUP($D105,'0. Control Panel'!$C$7:$F$16,4,FALSE)*('3. Product Benefit Input'!$F105+'3. Product Benefit Input'!I105)*'3. Product Benefit Input'!$L105)-(VLOOKUP($D105,'0. Control Panel'!$C$7:$F$16,4,FALSE)*('3. Product Benefit Input'!$F105+'3. Product Benefit Input'!I105)*'3. Product Benefit Input'!O105),0)</f>
        <v>0</v>
      </c>
      <c r="M105" s="24">
        <f>IFERROR((VLOOKUP($D105,'0. Control Panel'!$C$7:$F$16,4,FALSE)*('3. Product Benefit Input'!$F105+'3. Product Benefit Input'!J105)*'3. Product Benefit Input'!$L105)-(VLOOKUP($D105,'0. Control Panel'!$C$7:$F$16,4,FALSE)*('3. Product Benefit Input'!$F105+'3. Product Benefit Input'!J105)*'3. Product Benefit Input'!P105),0)</f>
        <v>0</v>
      </c>
      <c r="O105" s="24">
        <f>'3. Product Benefit Input'!T105</f>
        <v>0</v>
      </c>
      <c r="P105" s="24">
        <f>IFERROR(('3. Product Benefit Input'!O105-'3. Product Benefit Input'!$L105)/'3. Product Benefit Input'!$L105,0)</f>
        <v>0</v>
      </c>
      <c r="Q105" s="24">
        <f>IFERROR(('3. Product Benefit Input'!P105-'3. Product Benefit Input'!$L105)/'3. Product Benefit Input'!$L105,0)</f>
        <v>0</v>
      </c>
      <c r="S105" s="24">
        <f t="shared" si="98"/>
        <v>0</v>
      </c>
      <c r="T105" s="24">
        <f t="shared" si="99"/>
        <v>0</v>
      </c>
      <c r="U105" s="24">
        <f t="shared" si="100"/>
        <v>0</v>
      </c>
    </row>
    <row r="106" spans="1:21" x14ac:dyDescent="0.25">
      <c r="A106" t="str">
        <f t="shared" si="101"/>
        <v>-P8</v>
      </c>
      <c r="C106" s="6" t="str">
        <f>IF(C105="-","-",IF(C105+1&gt;COUNTA('0. Control Panel'!$C$7:$C$16),"-",C105+1))</f>
        <v>-</v>
      </c>
      <c r="D106" s="16" t="str">
        <f>IF(C106="-","-",INDEX('0. Control Panel'!$B$6:$K$16,MATCH('3.1 Product Benefit Output'!$C106,'0. Control Panel'!$B$6:$B$16,0),MATCH(D$6,'0. Control Panel'!$B$6:$K$6,0)))</f>
        <v>-</v>
      </c>
      <c r="E106" s="6"/>
      <c r="F106" s="2"/>
      <c r="G106" s="24">
        <f>IFERROR(-VLOOKUP($D106,'0. Control Panel'!$C$7:$F$16,4,FALSE)*(('3. Product Benefit Input'!$F106+'3. Product Benefit Input'!H106)*'3. Product Benefit Input'!$L106)+(VLOOKUP($D106,'0. Control Panel'!$C$7:$F$16,4,FALSE)*('3. Product Benefit Input'!$F106*'3. Product Benefit Input'!$L106)),0)</f>
        <v>0</v>
      </c>
      <c r="H106" s="24">
        <f>IFERROR(-VLOOKUP($D106,'0. Control Panel'!$C$7:$F$16,4,FALSE)*(('3. Product Benefit Input'!$F106+'3. Product Benefit Input'!I106)*'3. Product Benefit Input'!$L106)+(VLOOKUP($D106,'0. Control Panel'!$C$7:$F$16,4,FALSE)*('3. Product Benefit Input'!$F106*'3. Product Benefit Input'!$L106)),0)</f>
        <v>0</v>
      </c>
      <c r="I106" s="24">
        <f>IFERROR(-VLOOKUP($D106,'0. Control Panel'!$C$7:$F$16,4,FALSE)*(('3. Product Benefit Input'!$F106+'3. Product Benefit Input'!J106)*'3. Product Benefit Input'!$L106)+(VLOOKUP($D106,'0. Control Panel'!$C$7:$F$16,4,FALSE)*('3. Product Benefit Input'!$F106*'3. Product Benefit Input'!$L106)),0)</f>
        <v>0</v>
      </c>
      <c r="K106" s="24">
        <f>IFERROR((VLOOKUP($D106,'0. Control Panel'!$C$7:$F$16,4,FALSE)*('3. Product Benefit Input'!$F106+'3. Product Benefit Input'!H106)*'3. Product Benefit Input'!$L106)-(VLOOKUP($D106,'0. Control Panel'!$C$7:$F$16,4,FALSE)*('3. Product Benefit Input'!$F106+'3. Product Benefit Input'!H106)*'3. Product Benefit Input'!N106),0)</f>
        <v>0</v>
      </c>
      <c r="L106" s="24">
        <f>IFERROR((VLOOKUP($D106,'0. Control Panel'!$C$7:$F$16,4,FALSE)*('3. Product Benefit Input'!$F106+'3. Product Benefit Input'!I106)*'3. Product Benefit Input'!$L106)-(VLOOKUP($D106,'0. Control Panel'!$C$7:$F$16,4,FALSE)*('3. Product Benefit Input'!$F106+'3. Product Benefit Input'!I106)*'3. Product Benefit Input'!O106),0)</f>
        <v>0</v>
      </c>
      <c r="M106" s="24">
        <f>IFERROR((VLOOKUP($D106,'0. Control Panel'!$C$7:$F$16,4,FALSE)*('3. Product Benefit Input'!$F106+'3. Product Benefit Input'!J106)*'3. Product Benefit Input'!$L106)-(VLOOKUP($D106,'0. Control Panel'!$C$7:$F$16,4,FALSE)*('3. Product Benefit Input'!$F106+'3. Product Benefit Input'!J106)*'3. Product Benefit Input'!P106),0)</f>
        <v>0</v>
      </c>
      <c r="O106" s="24">
        <f>'3. Product Benefit Input'!T106</f>
        <v>0</v>
      </c>
      <c r="P106" s="24">
        <f>IFERROR(('3. Product Benefit Input'!O106-'3. Product Benefit Input'!$L106)/'3. Product Benefit Input'!$L106,0)</f>
        <v>0</v>
      </c>
      <c r="Q106" s="24">
        <f>IFERROR(('3. Product Benefit Input'!P106-'3. Product Benefit Input'!$L106)/'3. Product Benefit Input'!$L106,0)</f>
        <v>0</v>
      </c>
      <c r="S106" s="24">
        <f t="shared" si="98"/>
        <v>0</v>
      </c>
      <c r="T106" s="24">
        <f t="shared" si="99"/>
        <v>0</v>
      </c>
      <c r="U106" s="24">
        <f t="shared" si="100"/>
        <v>0</v>
      </c>
    </row>
    <row r="107" spans="1:21" x14ac:dyDescent="0.25">
      <c r="A107" t="str">
        <f t="shared" si="101"/>
        <v>-P8</v>
      </c>
      <c r="C107" s="7" t="str">
        <f>IF(C106="-","-",IF(C106+1&gt;COUNTA('0. Control Panel'!$C$7:$C$16),"-",C106+1))</f>
        <v>-</v>
      </c>
      <c r="D107" s="17" t="str">
        <f>IF(C107="-","-",INDEX('0. Control Panel'!$B$6:$K$16,MATCH('3.1 Product Benefit Output'!$C107,'0. Control Panel'!$B$6:$B$16,0),MATCH(D$6,'0. Control Panel'!$B$6:$K$6,0)))</f>
        <v>-</v>
      </c>
      <c r="E107" s="7"/>
      <c r="F107" s="2"/>
      <c r="G107" s="24">
        <f>IFERROR(-VLOOKUP($D107,'0. Control Panel'!$C$7:$F$16,4,FALSE)*(('3. Product Benefit Input'!$F107+'3. Product Benefit Input'!H107)*'3. Product Benefit Input'!$L107)+(VLOOKUP($D107,'0. Control Panel'!$C$7:$F$16,4,FALSE)*('3. Product Benefit Input'!$F107*'3. Product Benefit Input'!$L107)),0)</f>
        <v>0</v>
      </c>
      <c r="H107" s="24">
        <f>IFERROR(-VLOOKUP($D107,'0. Control Panel'!$C$7:$F$16,4,FALSE)*(('3. Product Benefit Input'!$F107+'3. Product Benefit Input'!I107)*'3. Product Benefit Input'!$L107)+(VLOOKUP($D107,'0. Control Panel'!$C$7:$F$16,4,FALSE)*('3. Product Benefit Input'!$F107*'3. Product Benefit Input'!$L107)),0)</f>
        <v>0</v>
      </c>
      <c r="I107" s="24">
        <f>IFERROR(-VLOOKUP($D107,'0. Control Panel'!$C$7:$F$16,4,FALSE)*(('3. Product Benefit Input'!$F107+'3. Product Benefit Input'!J107)*'3. Product Benefit Input'!$L107)+(VLOOKUP($D107,'0. Control Panel'!$C$7:$F$16,4,FALSE)*('3. Product Benefit Input'!$F107*'3. Product Benefit Input'!$L107)),0)</f>
        <v>0</v>
      </c>
      <c r="K107" s="24">
        <f>IFERROR((VLOOKUP($D107,'0. Control Panel'!$C$7:$F$16,4,FALSE)*('3. Product Benefit Input'!$F107+'3. Product Benefit Input'!H107)*'3. Product Benefit Input'!$L107)-(VLOOKUP($D107,'0. Control Panel'!$C$7:$F$16,4,FALSE)*('3. Product Benefit Input'!$F107+'3. Product Benefit Input'!H107)*'3. Product Benefit Input'!N107),0)</f>
        <v>0</v>
      </c>
      <c r="L107" s="24">
        <f>IFERROR((VLOOKUP($D107,'0. Control Panel'!$C$7:$F$16,4,FALSE)*('3. Product Benefit Input'!$F107+'3. Product Benefit Input'!I107)*'3. Product Benefit Input'!$L107)-(VLOOKUP($D107,'0. Control Panel'!$C$7:$F$16,4,FALSE)*('3. Product Benefit Input'!$F107+'3. Product Benefit Input'!I107)*'3. Product Benefit Input'!O107),0)</f>
        <v>0</v>
      </c>
      <c r="M107" s="24">
        <f>IFERROR((VLOOKUP($D107,'0. Control Panel'!$C$7:$F$16,4,FALSE)*('3. Product Benefit Input'!$F107+'3. Product Benefit Input'!J107)*'3. Product Benefit Input'!$L107)-(VLOOKUP($D107,'0. Control Panel'!$C$7:$F$16,4,FALSE)*('3. Product Benefit Input'!$F107+'3. Product Benefit Input'!J107)*'3. Product Benefit Input'!P107),0)</f>
        <v>0</v>
      </c>
      <c r="O107" s="24">
        <f>'3. Product Benefit Input'!T107</f>
        <v>0</v>
      </c>
      <c r="P107" s="24">
        <f>IFERROR(('3. Product Benefit Input'!O107-'3. Product Benefit Input'!$L107)/'3. Product Benefit Input'!$L107,0)</f>
        <v>0</v>
      </c>
      <c r="Q107" s="24">
        <f>IFERROR(('3. Product Benefit Input'!P107-'3. Product Benefit Input'!$L107)/'3. Product Benefit Input'!$L107,0)</f>
        <v>0</v>
      </c>
      <c r="S107" s="24">
        <f t="shared" si="98"/>
        <v>0</v>
      </c>
      <c r="T107" s="24">
        <f t="shared" si="99"/>
        <v>0</v>
      </c>
      <c r="U107" s="24">
        <f t="shared" si="100"/>
        <v>0</v>
      </c>
    </row>
    <row r="108" spans="1:21" ht="16.5" thickBot="1" x14ac:dyDescent="0.3">
      <c r="A108" s="22" t="str">
        <f>D108&amp;$C$97</f>
        <v>All Departments/FunctionsP8</v>
      </c>
      <c r="B108" s="22"/>
      <c r="C108" s="23"/>
      <c r="D108" s="27" t="str">
        <f>D95</f>
        <v>All Departments/Functions</v>
      </c>
      <c r="E108" s="23"/>
      <c r="F108" s="23"/>
      <c r="G108" s="28">
        <f>SUM(G98:G107)</f>
        <v>0</v>
      </c>
      <c r="H108" s="28">
        <f t="shared" ref="H108" si="102">SUM(H98:H107)</f>
        <v>0</v>
      </c>
      <c r="I108" s="28">
        <f t="shared" ref="I108" si="103">SUM(I98:I107)</f>
        <v>0</v>
      </c>
      <c r="J108" s="23"/>
      <c r="K108" s="28">
        <f>SUM(K98:K107)</f>
        <v>0</v>
      </c>
      <c r="L108" s="28">
        <f t="shared" ref="L108" si="104">SUM(L98:L107)</f>
        <v>0</v>
      </c>
      <c r="M108" s="28">
        <f t="shared" ref="M108" si="105">SUM(M98:M107)</f>
        <v>0</v>
      </c>
      <c r="N108" s="29"/>
      <c r="O108" s="28">
        <f>SUM(O98:O107)</f>
        <v>0</v>
      </c>
      <c r="P108" s="28">
        <f>SUM(P98:P107)</f>
        <v>0</v>
      </c>
      <c r="Q108" s="28">
        <f>SUM(Q98:Q107)</f>
        <v>0</v>
      </c>
      <c r="R108" s="29"/>
      <c r="S108" s="28">
        <f t="shared" ref="S108" si="106">SUM(S98:S107)</f>
        <v>0</v>
      </c>
      <c r="T108" s="28">
        <f t="shared" ref="T108" si="107">SUM(T98:T107)</f>
        <v>0</v>
      </c>
      <c r="U108" s="28">
        <f t="shared" ref="U108" si="108">SUM(U98:U107)</f>
        <v>0</v>
      </c>
    </row>
    <row r="109" spans="1:21" ht="16.5" thickTop="1" x14ac:dyDescent="0.25"/>
    <row r="110" spans="1:21" ht="15.95" customHeight="1" x14ac:dyDescent="0.25">
      <c r="C110" s="12" t="s">
        <v>30</v>
      </c>
      <c r="D110" s="30" t="str">
        <f>IF(INDEX('0. Control Panel'!$B$31:$C$41,MATCH('3.1 Product Benefit Output'!$C110,'0. Control Panel'!$B$31:$B$41,0),2)="","n/a",INDEX('0. Control Panel'!$B$31:$C$41,MATCH('3.1 Product Benefit Output'!$C110,'0. Control Panel'!$B$31:$B$41,0),2))</f>
        <v>n/a</v>
      </c>
      <c r="G110"/>
      <c r="H110"/>
      <c r="I110"/>
      <c r="J110"/>
      <c r="K110"/>
      <c r="L110"/>
      <c r="M110"/>
      <c r="N110"/>
      <c r="O110"/>
      <c r="P110"/>
      <c r="Q110"/>
      <c r="R110"/>
      <c r="S110"/>
      <c r="T110"/>
      <c r="U110"/>
    </row>
    <row r="111" spans="1:21" x14ac:dyDescent="0.25">
      <c r="A111" t="str">
        <f>D111&amp;$C$110</f>
        <v>ITP9</v>
      </c>
      <c r="C111" s="5">
        <v>1</v>
      </c>
      <c r="D111" s="15" t="str">
        <f>IF(C111="-","-",INDEX('0. Control Panel'!$B$6:$K$16,MATCH('3.1 Product Benefit Output'!$C111,'0. Control Panel'!$B$6:$B$16,0),MATCH(D$6,'0. Control Panel'!$B$6:$K$6,0)))</f>
        <v>IT</v>
      </c>
      <c r="E111" s="5"/>
      <c r="F111" s="2"/>
      <c r="G111" s="24">
        <f>IFERROR(-VLOOKUP($D111,'0. Control Panel'!$C$7:$F$16,4,FALSE)*(('3. Product Benefit Input'!$F111+'3. Product Benefit Input'!H111)*'3. Product Benefit Input'!$L111)+(VLOOKUP($D111,'0. Control Panel'!$C$7:$F$16,4,FALSE)*('3. Product Benefit Input'!$F111*'3. Product Benefit Input'!$L111)),0)</f>
        <v>0</v>
      </c>
      <c r="H111" s="24">
        <f>IFERROR(-VLOOKUP($D111,'0. Control Panel'!$C$7:$F$16,4,FALSE)*(('3. Product Benefit Input'!$F111+'3. Product Benefit Input'!I111)*'3. Product Benefit Input'!$L111)+(VLOOKUP($D111,'0. Control Panel'!$C$7:$F$16,4,FALSE)*('3. Product Benefit Input'!$F111*'3. Product Benefit Input'!$L111)),0)</f>
        <v>0</v>
      </c>
      <c r="I111" s="24">
        <f>IFERROR(-VLOOKUP($D111,'0. Control Panel'!$C$7:$F$16,4,FALSE)*(('3. Product Benefit Input'!$F111+'3. Product Benefit Input'!J111)*'3. Product Benefit Input'!$L111)+(VLOOKUP($D111,'0. Control Panel'!$C$7:$F$16,4,FALSE)*('3. Product Benefit Input'!$F111*'3. Product Benefit Input'!$L111)),0)</f>
        <v>0</v>
      </c>
      <c r="K111" s="24">
        <f>IFERROR((VLOOKUP($D111,'0. Control Panel'!$C$7:$F$16,4,FALSE)*('3. Product Benefit Input'!$F111+'3. Product Benefit Input'!H111)*'3. Product Benefit Input'!$L111)-(VLOOKUP($D111,'0. Control Panel'!$C$7:$F$16,4,FALSE)*('3. Product Benefit Input'!$F111+'3. Product Benefit Input'!H111)*'3. Product Benefit Input'!N111),0)</f>
        <v>0</v>
      </c>
      <c r="L111" s="24">
        <f>IFERROR((VLOOKUP($D111,'0. Control Panel'!$C$7:$F$16,4,FALSE)*('3. Product Benefit Input'!$F111+'3. Product Benefit Input'!I111)*'3. Product Benefit Input'!$L111)-(VLOOKUP($D111,'0. Control Panel'!$C$7:$F$16,4,FALSE)*('3. Product Benefit Input'!$F111+'3. Product Benefit Input'!I111)*'3. Product Benefit Input'!O111),0)</f>
        <v>0</v>
      </c>
      <c r="M111" s="24">
        <f>IFERROR((VLOOKUP($D111,'0. Control Panel'!$C$7:$F$16,4,FALSE)*('3. Product Benefit Input'!$F111+'3. Product Benefit Input'!J111)*'3. Product Benefit Input'!$L111)-(VLOOKUP($D111,'0. Control Panel'!$C$7:$F$16,4,FALSE)*('3. Product Benefit Input'!$F111+'3. Product Benefit Input'!J111)*'3. Product Benefit Input'!P111),0)</f>
        <v>0</v>
      </c>
      <c r="O111" s="24">
        <f>'3. Product Benefit Input'!T111</f>
        <v>0</v>
      </c>
      <c r="P111" s="24">
        <f>'3. Product Benefit Input'!U111</f>
        <v>0</v>
      </c>
      <c r="Q111" s="24">
        <f>'3. Product Benefit Input'!V111</f>
        <v>0</v>
      </c>
      <c r="S111" s="24">
        <f t="shared" ref="S111:S120" si="109">SUM(G111,K111,O111)</f>
        <v>0</v>
      </c>
      <c r="T111" s="24">
        <f t="shared" ref="T111:T120" si="110">SUM(H111,L111,P111)</f>
        <v>0</v>
      </c>
      <c r="U111" s="24">
        <f t="shared" ref="U111:U120" si="111">SUM(I111,M111,Q111)</f>
        <v>0</v>
      </c>
    </row>
    <row r="112" spans="1:21" x14ac:dyDescent="0.25">
      <c r="A112" t="str">
        <f t="shared" ref="A112:A120" si="112">D112&amp;$C$110</f>
        <v>SalesP9</v>
      </c>
      <c r="C112" s="6">
        <f>IF(C111="-","-",IF(C111+1&gt;COUNTA('0. Control Panel'!$C$7:$C$16),"-",C111+1))</f>
        <v>2</v>
      </c>
      <c r="D112" s="16" t="str">
        <f>IF(C112="-","-",INDEX('0. Control Panel'!$B$6:$K$16,MATCH('3.1 Product Benefit Output'!$C112,'0. Control Panel'!$B$6:$B$16,0),MATCH(D$6,'0. Control Panel'!$B$6:$K$6,0)))</f>
        <v>Sales</v>
      </c>
      <c r="E112" s="6"/>
      <c r="F112" s="2"/>
      <c r="G112" s="24">
        <f>IFERROR(-VLOOKUP($D112,'0. Control Panel'!$C$7:$F$16,4,FALSE)*(('3. Product Benefit Input'!$F112+'3. Product Benefit Input'!H112)*'3. Product Benefit Input'!$L112)+(VLOOKUP($D112,'0. Control Panel'!$C$7:$F$16,4,FALSE)*('3. Product Benefit Input'!$F112*'3. Product Benefit Input'!$L112)),0)</f>
        <v>0</v>
      </c>
      <c r="H112" s="24">
        <f>IFERROR(-VLOOKUP($D112,'0. Control Panel'!$C$7:$F$16,4,FALSE)*(('3. Product Benefit Input'!$F112+'3. Product Benefit Input'!I112)*'3. Product Benefit Input'!$L112)+(VLOOKUP($D112,'0. Control Panel'!$C$7:$F$16,4,FALSE)*('3. Product Benefit Input'!$F112*'3. Product Benefit Input'!$L112)),0)</f>
        <v>0</v>
      </c>
      <c r="I112" s="24">
        <f>IFERROR(-VLOOKUP($D112,'0. Control Panel'!$C$7:$F$16,4,FALSE)*(('3. Product Benefit Input'!$F112+'3. Product Benefit Input'!J112)*'3. Product Benefit Input'!$L112)+(VLOOKUP($D112,'0. Control Panel'!$C$7:$F$16,4,FALSE)*('3. Product Benefit Input'!$F112*'3. Product Benefit Input'!$L112)),0)</f>
        <v>0</v>
      </c>
      <c r="K112" s="24">
        <f>IFERROR((VLOOKUP($D112,'0. Control Panel'!$C$7:$F$16,4,FALSE)*('3. Product Benefit Input'!$F112+'3. Product Benefit Input'!H112)*'3. Product Benefit Input'!$L112)-(VLOOKUP($D112,'0. Control Panel'!$C$7:$F$16,4,FALSE)*('3. Product Benefit Input'!$F112+'3. Product Benefit Input'!H112)*'3. Product Benefit Input'!N112),0)</f>
        <v>0</v>
      </c>
      <c r="L112" s="24">
        <f>IFERROR((VLOOKUP($D112,'0. Control Panel'!$C$7:$F$16,4,FALSE)*('3. Product Benefit Input'!$F112+'3. Product Benefit Input'!I112)*'3. Product Benefit Input'!$L112)-(VLOOKUP($D112,'0. Control Panel'!$C$7:$F$16,4,FALSE)*('3. Product Benefit Input'!$F112+'3. Product Benefit Input'!I112)*'3. Product Benefit Input'!O112),0)</f>
        <v>0</v>
      </c>
      <c r="M112" s="24">
        <f>IFERROR((VLOOKUP($D112,'0. Control Panel'!$C$7:$F$16,4,FALSE)*('3. Product Benefit Input'!$F112+'3. Product Benefit Input'!J112)*'3. Product Benefit Input'!$L112)-(VLOOKUP($D112,'0. Control Panel'!$C$7:$F$16,4,FALSE)*('3. Product Benefit Input'!$F112+'3. Product Benefit Input'!J112)*'3. Product Benefit Input'!P112),0)</f>
        <v>0</v>
      </c>
      <c r="O112" s="24">
        <f>'3. Product Benefit Input'!T112</f>
        <v>0</v>
      </c>
      <c r="P112" s="24">
        <f>'3. Product Benefit Input'!U112</f>
        <v>0</v>
      </c>
      <c r="Q112" s="24">
        <f>'3. Product Benefit Input'!V112</f>
        <v>0</v>
      </c>
      <c r="S112" s="24">
        <f t="shared" si="109"/>
        <v>0</v>
      </c>
      <c r="T112" s="24">
        <f t="shared" si="110"/>
        <v>0</v>
      </c>
      <c r="U112" s="24">
        <f t="shared" si="111"/>
        <v>0</v>
      </c>
    </row>
    <row r="113" spans="1:21" x14ac:dyDescent="0.25">
      <c r="A113" t="str">
        <f t="shared" si="112"/>
        <v>Product AP9</v>
      </c>
      <c r="C113" s="6">
        <f>IF(C112="-","-",IF(C112+1&gt;COUNTA('0. Control Panel'!$C$7:$C$16),"-",C112+1))</f>
        <v>3</v>
      </c>
      <c r="D113" s="16" t="str">
        <f>IF(C113="-","-",INDEX('0. Control Panel'!$B$6:$K$16,MATCH('3.1 Product Benefit Output'!$C113,'0. Control Panel'!$B$6:$B$16,0),MATCH(D$6,'0. Control Panel'!$B$6:$K$6,0)))</f>
        <v>Product A</v>
      </c>
      <c r="E113" s="6"/>
      <c r="F113" s="2"/>
      <c r="G113" s="24">
        <f>IFERROR(-VLOOKUP($D113,'0. Control Panel'!$C$7:$F$16,4,FALSE)*(('3. Product Benefit Input'!$F113+'3. Product Benefit Input'!H113)*'3. Product Benefit Input'!$L113)+(VLOOKUP($D113,'0. Control Panel'!$C$7:$F$16,4,FALSE)*('3. Product Benefit Input'!$F113*'3. Product Benefit Input'!$L113)),0)</f>
        <v>0</v>
      </c>
      <c r="H113" s="24">
        <f>IFERROR(-VLOOKUP($D113,'0. Control Panel'!$C$7:$F$16,4,FALSE)*(('3. Product Benefit Input'!$F113+'3. Product Benefit Input'!I113)*'3. Product Benefit Input'!$L113)+(VLOOKUP($D113,'0. Control Panel'!$C$7:$F$16,4,FALSE)*('3. Product Benefit Input'!$F113*'3. Product Benefit Input'!$L113)),0)</f>
        <v>0</v>
      </c>
      <c r="I113" s="24">
        <f>IFERROR(-VLOOKUP($D113,'0. Control Panel'!$C$7:$F$16,4,FALSE)*(('3. Product Benefit Input'!$F113+'3. Product Benefit Input'!J113)*'3. Product Benefit Input'!$L113)+(VLOOKUP($D113,'0. Control Panel'!$C$7:$F$16,4,FALSE)*('3. Product Benefit Input'!$F113*'3. Product Benefit Input'!$L113)),0)</f>
        <v>0</v>
      </c>
      <c r="K113" s="24">
        <f>IFERROR((VLOOKUP($D113,'0. Control Panel'!$C$7:$F$16,4,FALSE)*('3. Product Benefit Input'!$F113+'3. Product Benefit Input'!H113)*'3. Product Benefit Input'!$L113)-(VLOOKUP($D113,'0. Control Panel'!$C$7:$F$16,4,FALSE)*('3. Product Benefit Input'!$F113+'3. Product Benefit Input'!H113)*'3. Product Benefit Input'!N113),0)</f>
        <v>0</v>
      </c>
      <c r="L113" s="24">
        <f>IFERROR((VLOOKUP($D113,'0. Control Panel'!$C$7:$F$16,4,FALSE)*('3. Product Benefit Input'!$F113+'3. Product Benefit Input'!I113)*'3. Product Benefit Input'!$L113)-(VLOOKUP($D113,'0. Control Panel'!$C$7:$F$16,4,FALSE)*('3. Product Benefit Input'!$F113+'3. Product Benefit Input'!I113)*'3. Product Benefit Input'!O113),0)</f>
        <v>0</v>
      </c>
      <c r="M113" s="24">
        <f>IFERROR((VLOOKUP($D113,'0. Control Panel'!$C$7:$F$16,4,FALSE)*('3. Product Benefit Input'!$F113+'3. Product Benefit Input'!J113)*'3. Product Benefit Input'!$L113)-(VLOOKUP($D113,'0. Control Panel'!$C$7:$F$16,4,FALSE)*('3. Product Benefit Input'!$F113+'3. Product Benefit Input'!J113)*'3. Product Benefit Input'!P113),0)</f>
        <v>0</v>
      </c>
      <c r="O113" s="24">
        <f>'3. Product Benefit Input'!T113</f>
        <v>0</v>
      </c>
      <c r="P113" s="24">
        <f>'3. Product Benefit Input'!U113</f>
        <v>0</v>
      </c>
      <c r="Q113" s="24">
        <f>'3. Product Benefit Input'!V113</f>
        <v>0</v>
      </c>
      <c r="S113" s="24">
        <f t="shared" si="109"/>
        <v>0</v>
      </c>
      <c r="T113" s="24">
        <f t="shared" si="110"/>
        <v>0</v>
      </c>
      <c r="U113" s="24">
        <f t="shared" si="111"/>
        <v>0</v>
      </c>
    </row>
    <row r="114" spans="1:21" x14ac:dyDescent="0.25">
      <c r="A114" t="str">
        <f t="shared" si="112"/>
        <v>Product BP9</v>
      </c>
      <c r="C114" s="6">
        <f>IF(C113="-","-",IF(C113+1&gt;COUNTA('0. Control Panel'!$C$7:$C$16),"-",C113+1))</f>
        <v>4</v>
      </c>
      <c r="D114" s="16" t="str">
        <f>IF(C114="-","-",INDEX('0. Control Panel'!$B$6:$K$16,MATCH('3.1 Product Benefit Output'!$C114,'0. Control Panel'!$B$6:$B$16,0),MATCH(D$6,'0. Control Panel'!$B$6:$K$6,0)))</f>
        <v>Product B</v>
      </c>
      <c r="E114" s="6"/>
      <c r="F114" s="2"/>
      <c r="G114" s="24">
        <f>IFERROR(-VLOOKUP($D114,'0. Control Panel'!$C$7:$F$16,4,FALSE)*(('3. Product Benefit Input'!$F114+'3. Product Benefit Input'!H114)*'3. Product Benefit Input'!$L114)+(VLOOKUP($D114,'0. Control Panel'!$C$7:$F$16,4,FALSE)*('3. Product Benefit Input'!$F114*'3. Product Benefit Input'!$L114)),0)</f>
        <v>0</v>
      </c>
      <c r="H114" s="24">
        <f>IFERROR(-VLOOKUP($D114,'0. Control Panel'!$C$7:$F$16,4,FALSE)*(('3. Product Benefit Input'!$F114+'3. Product Benefit Input'!I114)*'3. Product Benefit Input'!$L114)+(VLOOKUP($D114,'0. Control Panel'!$C$7:$F$16,4,FALSE)*('3. Product Benefit Input'!$F114*'3. Product Benefit Input'!$L114)),0)</f>
        <v>0</v>
      </c>
      <c r="I114" s="24">
        <f>IFERROR(-VLOOKUP($D114,'0. Control Panel'!$C$7:$F$16,4,FALSE)*(('3. Product Benefit Input'!$F114+'3. Product Benefit Input'!J114)*'3. Product Benefit Input'!$L114)+(VLOOKUP($D114,'0. Control Panel'!$C$7:$F$16,4,FALSE)*('3. Product Benefit Input'!$F114*'3. Product Benefit Input'!$L114)),0)</f>
        <v>0</v>
      </c>
      <c r="K114" s="24">
        <f>IFERROR((VLOOKUP($D114,'0. Control Panel'!$C$7:$F$16,4,FALSE)*('3. Product Benefit Input'!$F114+'3. Product Benefit Input'!H114)*'3. Product Benefit Input'!$L114)-(VLOOKUP($D114,'0. Control Panel'!$C$7:$F$16,4,FALSE)*('3. Product Benefit Input'!$F114+'3. Product Benefit Input'!H114)*'3. Product Benefit Input'!N114),0)</f>
        <v>0</v>
      </c>
      <c r="L114" s="24">
        <f>IFERROR((VLOOKUP($D114,'0. Control Panel'!$C$7:$F$16,4,FALSE)*('3. Product Benefit Input'!$F114+'3. Product Benefit Input'!I114)*'3. Product Benefit Input'!$L114)-(VLOOKUP($D114,'0. Control Panel'!$C$7:$F$16,4,FALSE)*('3. Product Benefit Input'!$F114+'3. Product Benefit Input'!I114)*'3. Product Benefit Input'!O114),0)</f>
        <v>0</v>
      </c>
      <c r="M114" s="24">
        <f>IFERROR((VLOOKUP($D114,'0. Control Panel'!$C$7:$F$16,4,FALSE)*('3. Product Benefit Input'!$F114+'3. Product Benefit Input'!J114)*'3. Product Benefit Input'!$L114)-(VLOOKUP($D114,'0. Control Panel'!$C$7:$F$16,4,FALSE)*('3. Product Benefit Input'!$F114+'3. Product Benefit Input'!J114)*'3. Product Benefit Input'!P114),0)</f>
        <v>0</v>
      </c>
      <c r="O114" s="24">
        <f>'3. Product Benefit Input'!T114</f>
        <v>0</v>
      </c>
      <c r="P114" s="24">
        <f>'3. Product Benefit Input'!U114</f>
        <v>0</v>
      </c>
      <c r="Q114" s="24">
        <f>'3. Product Benefit Input'!V114</f>
        <v>0</v>
      </c>
      <c r="S114" s="24">
        <f t="shared" si="109"/>
        <v>0</v>
      </c>
      <c r="T114" s="24">
        <f t="shared" si="110"/>
        <v>0</v>
      </c>
      <c r="U114" s="24">
        <f t="shared" si="111"/>
        <v>0</v>
      </c>
    </row>
    <row r="115" spans="1:21" x14ac:dyDescent="0.25">
      <c r="A115" t="str">
        <f t="shared" si="112"/>
        <v>R&amp;DP9</v>
      </c>
      <c r="C115" s="6">
        <f>IF(C114="-","-",IF(C114+1&gt;COUNTA('0. Control Panel'!$C$7:$C$16),"-",C114+1))</f>
        <v>5</v>
      </c>
      <c r="D115" s="16" t="str">
        <f>IF(C115="-","-",INDEX('0. Control Panel'!$B$6:$K$16,MATCH('3.1 Product Benefit Output'!$C115,'0. Control Panel'!$B$6:$B$16,0),MATCH(D$6,'0. Control Panel'!$B$6:$K$6,0)))</f>
        <v>R&amp;D</v>
      </c>
      <c r="E115" s="6"/>
      <c r="F115" s="2"/>
      <c r="G115" s="24">
        <f>IFERROR(-VLOOKUP($D115,'0. Control Panel'!$C$7:$F$16,4,FALSE)*(('3. Product Benefit Input'!$F115+'3. Product Benefit Input'!H115)*'3. Product Benefit Input'!$L115)+(VLOOKUP($D115,'0. Control Panel'!$C$7:$F$16,4,FALSE)*('3. Product Benefit Input'!$F115*'3. Product Benefit Input'!$L115)),0)</f>
        <v>0</v>
      </c>
      <c r="H115" s="24">
        <f>IFERROR(-VLOOKUP($D115,'0. Control Panel'!$C$7:$F$16,4,FALSE)*(('3. Product Benefit Input'!$F115+'3. Product Benefit Input'!I115)*'3. Product Benefit Input'!$L115)+(VLOOKUP($D115,'0. Control Panel'!$C$7:$F$16,4,FALSE)*('3. Product Benefit Input'!$F115*'3. Product Benefit Input'!$L115)),0)</f>
        <v>0</v>
      </c>
      <c r="I115" s="24">
        <f>IFERROR(-VLOOKUP($D115,'0. Control Panel'!$C$7:$F$16,4,FALSE)*(('3. Product Benefit Input'!$F115+'3. Product Benefit Input'!J115)*'3. Product Benefit Input'!$L115)+(VLOOKUP($D115,'0. Control Panel'!$C$7:$F$16,4,FALSE)*('3. Product Benefit Input'!$F115*'3. Product Benefit Input'!$L115)),0)</f>
        <v>0</v>
      </c>
      <c r="K115" s="24">
        <f>IFERROR((VLOOKUP($D115,'0. Control Panel'!$C$7:$F$16,4,FALSE)*('3. Product Benefit Input'!$F115+'3. Product Benefit Input'!H115)*'3. Product Benefit Input'!$L115)-(VLOOKUP($D115,'0. Control Panel'!$C$7:$F$16,4,FALSE)*('3. Product Benefit Input'!$F115+'3. Product Benefit Input'!H115)*'3. Product Benefit Input'!N115),0)</f>
        <v>0</v>
      </c>
      <c r="L115" s="24">
        <f>IFERROR((VLOOKUP($D115,'0. Control Panel'!$C$7:$F$16,4,FALSE)*('3. Product Benefit Input'!$F115+'3. Product Benefit Input'!I115)*'3. Product Benefit Input'!$L115)-(VLOOKUP($D115,'0. Control Panel'!$C$7:$F$16,4,FALSE)*('3. Product Benefit Input'!$F115+'3. Product Benefit Input'!I115)*'3. Product Benefit Input'!O115),0)</f>
        <v>0</v>
      </c>
      <c r="M115" s="24">
        <f>IFERROR((VLOOKUP($D115,'0. Control Panel'!$C$7:$F$16,4,FALSE)*('3. Product Benefit Input'!$F115+'3. Product Benefit Input'!J115)*'3. Product Benefit Input'!$L115)-(VLOOKUP($D115,'0. Control Panel'!$C$7:$F$16,4,FALSE)*('3. Product Benefit Input'!$F115+'3. Product Benefit Input'!J115)*'3. Product Benefit Input'!P115),0)</f>
        <v>0</v>
      </c>
      <c r="O115" s="24">
        <f>'3. Product Benefit Input'!T115</f>
        <v>0</v>
      </c>
      <c r="P115" s="24">
        <f>'3. Product Benefit Input'!U115</f>
        <v>0</v>
      </c>
      <c r="Q115" s="24">
        <f>'3. Product Benefit Input'!V115</f>
        <v>0</v>
      </c>
      <c r="S115" s="24">
        <f t="shared" si="109"/>
        <v>0</v>
      </c>
      <c r="T115" s="24">
        <f t="shared" si="110"/>
        <v>0</v>
      </c>
      <c r="U115" s="24">
        <f t="shared" si="111"/>
        <v>0</v>
      </c>
    </row>
    <row r="116" spans="1:21" x14ac:dyDescent="0.25">
      <c r="A116" t="str">
        <f t="shared" si="112"/>
        <v>HRP9</v>
      </c>
      <c r="C116" s="6">
        <f>IF(C115="-","-",IF(C115+1&gt;COUNTA('0. Control Panel'!$C$7:$C$16),"-",C115+1))</f>
        <v>6</v>
      </c>
      <c r="D116" s="16" t="str">
        <f>IF(C116="-","-",INDEX('0. Control Panel'!$B$6:$K$16,MATCH('3.1 Product Benefit Output'!$C116,'0. Control Panel'!$B$6:$B$16,0),MATCH(D$6,'0. Control Panel'!$B$6:$K$6,0)))</f>
        <v>HR</v>
      </c>
      <c r="E116" s="6"/>
      <c r="F116" s="2"/>
      <c r="G116" s="24">
        <f>IFERROR(-VLOOKUP($D116,'0. Control Panel'!$C$7:$F$16,4,FALSE)*(('3. Product Benefit Input'!$F116+'3. Product Benefit Input'!H116)*'3. Product Benefit Input'!$L116)+(VLOOKUP($D116,'0. Control Panel'!$C$7:$F$16,4,FALSE)*('3. Product Benefit Input'!$F116*'3. Product Benefit Input'!$L116)),0)</f>
        <v>0</v>
      </c>
      <c r="H116" s="24">
        <f>IFERROR(-VLOOKUP($D116,'0. Control Panel'!$C$7:$F$16,4,FALSE)*(('3. Product Benefit Input'!$F116+'3. Product Benefit Input'!I116)*'3. Product Benefit Input'!$L116)+(VLOOKUP($D116,'0. Control Panel'!$C$7:$F$16,4,FALSE)*('3. Product Benefit Input'!$F116*'3. Product Benefit Input'!$L116)),0)</f>
        <v>0</v>
      </c>
      <c r="I116" s="24">
        <f>IFERROR(-VLOOKUP($D116,'0. Control Panel'!$C$7:$F$16,4,FALSE)*(('3. Product Benefit Input'!$F116+'3. Product Benefit Input'!J116)*'3. Product Benefit Input'!$L116)+(VLOOKUP($D116,'0. Control Panel'!$C$7:$F$16,4,FALSE)*('3. Product Benefit Input'!$F116*'3. Product Benefit Input'!$L116)),0)</f>
        <v>0</v>
      </c>
      <c r="K116" s="24">
        <f>IFERROR((VLOOKUP($D116,'0. Control Panel'!$C$7:$F$16,4,FALSE)*('3. Product Benefit Input'!$F116+'3. Product Benefit Input'!H116)*'3. Product Benefit Input'!$L116)-(VLOOKUP($D116,'0. Control Panel'!$C$7:$F$16,4,FALSE)*('3. Product Benefit Input'!$F116+'3. Product Benefit Input'!H116)*'3. Product Benefit Input'!N116),0)</f>
        <v>0</v>
      </c>
      <c r="L116" s="24">
        <f>IFERROR((VLOOKUP($D116,'0. Control Panel'!$C$7:$F$16,4,FALSE)*('3. Product Benefit Input'!$F116+'3. Product Benefit Input'!I116)*'3. Product Benefit Input'!$L116)-(VLOOKUP($D116,'0. Control Panel'!$C$7:$F$16,4,FALSE)*('3. Product Benefit Input'!$F116+'3. Product Benefit Input'!I116)*'3. Product Benefit Input'!O116),0)</f>
        <v>0</v>
      </c>
      <c r="M116" s="24">
        <f>IFERROR((VLOOKUP($D116,'0. Control Panel'!$C$7:$F$16,4,FALSE)*('3. Product Benefit Input'!$F116+'3. Product Benefit Input'!J116)*'3. Product Benefit Input'!$L116)-(VLOOKUP($D116,'0. Control Panel'!$C$7:$F$16,4,FALSE)*('3. Product Benefit Input'!$F116+'3. Product Benefit Input'!J116)*'3. Product Benefit Input'!P116),0)</f>
        <v>0</v>
      </c>
      <c r="O116" s="24">
        <f>'3. Product Benefit Input'!T116</f>
        <v>0</v>
      </c>
      <c r="P116" s="24">
        <f>'3. Product Benefit Input'!U116</f>
        <v>0</v>
      </c>
      <c r="Q116" s="24">
        <f>'3. Product Benefit Input'!V116</f>
        <v>0</v>
      </c>
      <c r="S116" s="24">
        <f t="shared" si="109"/>
        <v>0</v>
      </c>
      <c r="T116" s="24">
        <f t="shared" si="110"/>
        <v>0</v>
      </c>
      <c r="U116" s="24">
        <f t="shared" si="111"/>
        <v>0</v>
      </c>
    </row>
    <row r="117" spans="1:21" x14ac:dyDescent="0.25">
      <c r="A117" t="str">
        <f t="shared" si="112"/>
        <v>FinanceP9</v>
      </c>
      <c r="C117" s="6">
        <f>IF(C116="-","-",IF(C116+1&gt;COUNTA('0. Control Panel'!$C$7:$C$16),"-",C116+1))</f>
        <v>7</v>
      </c>
      <c r="D117" s="16" t="str">
        <f>IF(C117="-","-",INDEX('0. Control Panel'!$B$6:$K$16,MATCH('3.1 Product Benefit Output'!$C117,'0. Control Panel'!$B$6:$B$16,0),MATCH(D$6,'0. Control Panel'!$B$6:$K$6,0)))</f>
        <v>Finance</v>
      </c>
      <c r="E117" s="6"/>
      <c r="F117" s="2"/>
      <c r="G117" s="24">
        <f>IFERROR(-VLOOKUP($D117,'0. Control Panel'!$C$7:$F$16,4,FALSE)*(('3. Product Benefit Input'!$F117+'3. Product Benefit Input'!H117)*'3. Product Benefit Input'!$L117)+(VLOOKUP($D117,'0. Control Panel'!$C$7:$F$16,4,FALSE)*('3. Product Benefit Input'!$F117*'3. Product Benefit Input'!$L117)),0)</f>
        <v>0</v>
      </c>
      <c r="H117" s="24">
        <f>IFERROR(-VLOOKUP($D117,'0. Control Panel'!$C$7:$F$16,4,FALSE)*(('3. Product Benefit Input'!$F117+'3. Product Benefit Input'!I117)*'3. Product Benefit Input'!$L117)+(VLOOKUP($D117,'0. Control Panel'!$C$7:$F$16,4,FALSE)*('3. Product Benefit Input'!$F117*'3. Product Benefit Input'!$L117)),0)</f>
        <v>0</v>
      </c>
      <c r="I117" s="24">
        <f>IFERROR(-VLOOKUP($D117,'0. Control Panel'!$C$7:$F$16,4,FALSE)*(('3. Product Benefit Input'!$F117+'3. Product Benefit Input'!J117)*'3. Product Benefit Input'!$L117)+(VLOOKUP($D117,'0. Control Panel'!$C$7:$F$16,4,FALSE)*('3. Product Benefit Input'!$F117*'3. Product Benefit Input'!$L117)),0)</f>
        <v>0</v>
      </c>
      <c r="K117" s="24">
        <f>IFERROR((VLOOKUP($D117,'0. Control Panel'!$C$7:$F$16,4,FALSE)*('3. Product Benefit Input'!$F117+'3. Product Benefit Input'!H117)*'3. Product Benefit Input'!$L117)-(VLOOKUP($D117,'0. Control Panel'!$C$7:$F$16,4,FALSE)*('3. Product Benefit Input'!$F117+'3. Product Benefit Input'!H117)*'3. Product Benefit Input'!N117),0)</f>
        <v>0</v>
      </c>
      <c r="L117" s="24">
        <f>IFERROR((VLOOKUP($D117,'0. Control Panel'!$C$7:$F$16,4,FALSE)*('3. Product Benefit Input'!$F117+'3. Product Benefit Input'!I117)*'3. Product Benefit Input'!$L117)-(VLOOKUP($D117,'0. Control Panel'!$C$7:$F$16,4,FALSE)*('3. Product Benefit Input'!$F117+'3. Product Benefit Input'!I117)*'3. Product Benefit Input'!O117),0)</f>
        <v>0</v>
      </c>
      <c r="M117" s="24">
        <f>IFERROR((VLOOKUP($D117,'0. Control Panel'!$C$7:$F$16,4,FALSE)*('3. Product Benefit Input'!$F117+'3. Product Benefit Input'!J117)*'3. Product Benefit Input'!$L117)-(VLOOKUP($D117,'0. Control Panel'!$C$7:$F$16,4,FALSE)*('3. Product Benefit Input'!$F117+'3. Product Benefit Input'!J117)*'3. Product Benefit Input'!P117),0)</f>
        <v>0</v>
      </c>
      <c r="O117" s="24">
        <f>'3. Product Benefit Input'!T117</f>
        <v>0</v>
      </c>
      <c r="P117" s="24">
        <f>'3. Product Benefit Input'!U117</f>
        <v>0</v>
      </c>
      <c r="Q117" s="24">
        <f>'3. Product Benefit Input'!V117</f>
        <v>0</v>
      </c>
      <c r="S117" s="24">
        <f t="shared" si="109"/>
        <v>0</v>
      </c>
      <c r="T117" s="24">
        <f t="shared" si="110"/>
        <v>0</v>
      </c>
      <c r="U117" s="24">
        <f t="shared" si="111"/>
        <v>0</v>
      </c>
    </row>
    <row r="118" spans="1:21" x14ac:dyDescent="0.25">
      <c r="A118" t="str">
        <f t="shared" si="112"/>
        <v>Head OfficeP9</v>
      </c>
      <c r="C118" s="6">
        <f>IF(C117="-","-",IF(C117+1&gt;COUNTA('0. Control Panel'!$C$7:$C$16),"-",C117+1))</f>
        <v>8</v>
      </c>
      <c r="D118" s="16" t="str">
        <f>IF(C118="-","-",INDEX('0. Control Panel'!$B$6:$K$16,MATCH('3.1 Product Benefit Output'!$C118,'0. Control Panel'!$B$6:$B$16,0),MATCH(D$6,'0. Control Panel'!$B$6:$K$6,0)))</f>
        <v>Head Office</v>
      </c>
      <c r="E118" s="6"/>
      <c r="F118" s="2"/>
      <c r="G118" s="24">
        <f>IFERROR(-VLOOKUP($D118,'0. Control Panel'!$C$7:$F$16,4,FALSE)*(('3. Product Benefit Input'!$F118+'3. Product Benefit Input'!H118)*'3. Product Benefit Input'!$L118)+(VLOOKUP($D118,'0. Control Panel'!$C$7:$F$16,4,FALSE)*('3. Product Benefit Input'!$F118*'3. Product Benefit Input'!$L118)),0)</f>
        <v>0</v>
      </c>
      <c r="H118" s="24">
        <f>IFERROR(-VLOOKUP($D118,'0. Control Panel'!$C$7:$F$16,4,FALSE)*(('3. Product Benefit Input'!$F118+'3. Product Benefit Input'!I118)*'3. Product Benefit Input'!$L118)+(VLOOKUP($D118,'0. Control Panel'!$C$7:$F$16,4,FALSE)*('3. Product Benefit Input'!$F118*'3. Product Benefit Input'!$L118)),0)</f>
        <v>0</v>
      </c>
      <c r="I118" s="24">
        <f>IFERROR(-VLOOKUP($D118,'0. Control Panel'!$C$7:$F$16,4,FALSE)*(('3. Product Benefit Input'!$F118+'3. Product Benefit Input'!J118)*'3. Product Benefit Input'!$L118)+(VLOOKUP($D118,'0. Control Panel'!$C$7:$F$16,4,FALSE)*('3. Product Benefit Input'!$F118*'3. Product Benefit Input'!$L118)),0)</f>
        <v>0</v>
      </c>
      <c r="K118" s="24">
        <f>IFERROR((VLOOKUP($D118,'0. Control Panel'!$C$7:$F$16,4,FALSE)*('3. Product Benefit Input'!$F118+'3. Product Benefit Input'!H118)*'3. Product Benefit Input'!$L118)-(VLOOKUP($D118,'0. Control Panel'!$C$7:$F$16,4,FALSE)*('3. Product Benefit Input'!$F118+'3. Product Benefit Input'!H118)*'3. Product Benefit Input'!N118),0)</f>
        <v>0</v>
      </c>
      <c r="L118" s="24">
        <f>IFERROR((VLOOKUP($D118,'0. Control Panel'!$C$7:$F$16,4,FALSE)*('3. Product Benefit Input'!$F118+'3. Product Benefit Input'!I118)*'3. Product Benefit Input'!$L118)-(VLOOKUP($D118,'0. Control Panel'!$C$7:$F$16,4,FALSE)*('3. Product Benefit Input'!$F118+'3. Product Benefit Input'!I118)*'3. Product Benefit Input'!O118),0)</f>
        <v>0</v>
      </c>
      <c r="M118" s="24">
        <f>IFERROR((VLOOKUP($D118,'0. Control Panel'!$C$7:$F$16,4,FALSE)*('3. Product Benefit Input'!$F118+'3. Product Benefit Input'!J118)*'3. Product Benefit Input'!$L118)-(VLOOKUP($D118,'0. Control Panel'!$C$7:$F$16,4,FALSE)*('3. Product Benefit Input'!$F118+'3. Product Benefit Input'!J118)*'3. Product Benefit Input'!P118),0)</f>
        <v>0</v>
      </c>
      <c r="O118" s="24">
        <f>'3. Product Benefit Input'!T118</f>
        <v>0</v>
      </c>
      <c r="P118" s="24">
        <f>'3. Product Benefit Input'!U118</f>
        <v>0</v>
      </c>
      <c r="Q118" s="24">
        <f>'3. Product Benefit Input'!V118</f>
        <v>0</v>
      </c>
      <c r="S118" s="24">
        <f t="shared" si="109"/>
        <v>0</v>
      </c>
      <c r="T118" s="24">
        <f t="shared" si="110"/>
        <v>0</v>
      </c>
      <c r="U118" s="24">
        <f t="shared" si="111"/>
        <v>0</v>
      </c>
    </row>
    <row r="119" spans="1:21" x14ac:dyDescent="0.25">
      <c r="A119" t="str">
        <f t="shared" si="112"/>
        <v>-P9</v>
      </c>
      <c r="C119" s="6" t="str">
        <f>IF(C118="-","-",IF(C118+1&gt;COUNTA('0. Control Panel'!$C$7:$C$16),"-",C118+1))</f>
        <v>-</v>
      </c>
      <c r="D119" s="16" t="str">
        <f>IF(C119="-","-",INDEX('0. Control Panel'!$B$6:$K$16,MATCH('3.1 Product Benefit Output'!$C119,'0. Control Panel'!$B$6:$B$16,0),MATCH(D$6,'0. Control Panel'!$B$6:$K$6,0)))</f>
        <v>-</v>
      </c>
      <c r="E119" s="6"/>
      <c r="F119" s="2"/>
      <c r="G119" s="24">
        <f>IFERROR(-VLOOKUP($D119,'0. Control Panel'!$C$7:$F$16,4,FALSE)*(('3. Product Benefit Input'!$F119+'3. Product Benefit Input'!H119)*'3. Product Benefit Input'!$L119)+(VLOOKUP($D119,'0. Control Panel'!$C$7:$F$16,4,FALSE)*('3. Product Benefit Input'!$F119*'3. Product Benefit Input'!$L119)),0)</f>
        <v>0</v>
      </c>
      <c r="H119" s="24">
        <f>IFERROR(-VLOOKUP($D119,'0. Control Panel'!$C$7:$F$16,4,FALSE)*(('3. Product Benefit Input'!$F119+'3. Product Benefit Input'!I119)*'3. Product Benefit Input'!$L119)+(VLOOKUP($D119,'0. Control Panel'!$C$7:$F$16,4,FALSE)*('3. Product Benefit Input'!$F119*'3. Product Benefit Input'!$L119)),0)</f>
        <v>0</v>
      </c>
      <c r="I119" s="24">
        <f>IFERROR(-VLOOKUP($D119,'0. Control Panel'!$C$7:$F$16,4,FALSE)*(('3. Product Benefit Input'!$F119+'3. Product Benefit Input'!J119)*'3. Product Benefit Input'!$L119)+(VLOOKUP($D119,'0. Control Panel'!$C$7:$F$16,4,FALSE)*('3. Product Benefit Input'!$F119*'3. Product Benefit Input'!$L119)),0)</f>
        <v>0</v>
      </c>
      <c r="K119" s="24">
        <f>IFERROR((VLOOKUP($D119,'0. Control Panel'!$C$7:$F$16,4,FALSE)*('3. Product Benefit Input'!$F119+'3. Product Benefit Input'!H119)*'3. Product Benefit Input'!$L119)-(VLOOKUP($D119,'0. Control Panel'!$C$7:$F$16,4,FALSE)*('3. Product Benefit Input'!$F119+'3. Product Benefit Input'!H119)*'3. Product Benefit Input'!N119),0)</f>
        <v>0</v>
      </c>
      <c r="L119" s="24">
        <f>IFERROR((VLOOKUP($D119,'0. Control Panel'!$C$7:$F$16,4,FALSE)*('3. Product Benefit Input'!$F119+'3. Product Benefit Input'!I119)*'3. Product Benefit Input'!$L119)-(VLOOKUP($D119,'0. Control Panel'!$C$7:$F$16,4,FALSE)*('3. Product Benefit Input'!$F119+'3. Product Benefit Input'!I119)*'3. Product Benefit Input'!O119),0)</f>
        <v>0</v>
      </c>
      <c r="M119" s="24">
        <f>IFERROR((VLOOKUP($D119,'0. Control Panel'!$C$7:$F$16,4,FALSE)*('3. Product Benefit Input'!$F119+'3. Product Benefit Input'!J119)*'3. Product Benefit Input'!$L119)-(VLOOKUP($D119,'0. Control Panel'!$C$7:$F$16,4,FALSE)*('3. Product Benefit Input'!$F119+'3. Product Benefit Input'!J119)*'3. Product Benefit Input'!P119),0)</f>
        <v>0</v>
      </c>
      <c r="O119" s="24">
        <f>'3. Product Benefit Input'!T119</f>
        <v>0</v>
      </c>
      <c r="P119" s="24">
        <f>'3. Product Benefit Input'!U119</f>
        <v>0</v>
      </c>
      <c r="Q119" s="24">
        <f>'3. Product Benefit Input'!V119</f>
        <v>0</v>
      </c>
      <c r="S119" s="24">
        <f t="shared" si="109"/>
        <v>0</v>
      </c>
      <c r="T119" s="24">
        <f t="shared" si="110"/>
        <v>0</v>
      </c>
      <c r="U119" s="24">
        <f t="shared" si="111"/>
        <v>0</v>
      </c>
    </row>
    <row r="120" spans="1:21" x14ac:dyDescent="0.25">
      <c r="A120" t="str">
        <f t="shared" si="112"/>
        <v>-P9</v>
      </c>
      <c r="C120" s="7" t="str">
        <f>IF(C119="-","-",IF(C119+1&gt;COUNTA('0. Control Panel'!$C$7:$C$16),"-",C119+1))</f>
        <v>-</v>
      </c>
      <c r="D120" s="17" t="str">
        <f>IF(C120="-","-",INDEX('0. Control Panel'!$B$6:$K$16,MATCH('3.1 Product Benefit Output'!$C120,'0. Control Panel'!$B$6:$B$16,0),MATCH(D$6,'0. Control Panel'!$B$6:$K$6,0)))</f>
        <v>-</v>
      </c>
      <c r="E120" s="7"/>
      <c r="F120" s="2"/>
      <c r="G120" s="24">
        <f>IFERROR(-VLOOKUP($D120,'0. Control Panel'!$C$7:$F$16,4,FALSE)*(('3. Product Benefit Input'!$F120+'3. Product Benefit Input'!H120)*'3. Product Benefit Input'!$L120)+(VLOOKUP($D120,'0. Control Panel'!$C$7:$F$16,4,FALSE)*('3. Product Benefit Input'!$F120*'3. Product Benefit Input'!$L120)),0)</f>
        <v>0</v>
      </c>
      <c r="H120" s="24">
        <f>IFERROR(-VLOOKUP($D120,'0. Control Panel'!$C$7:$F$16,4,FALSE)*(('3. Product Benefit Input'!$F120+'3. Product Benefit Input'!I120)*'3. Product Benefit Input'!$L120)+(VLOOKUP($D120,'0. Control Panel'!$C$7:$F$16,4,FALSE)*('3. Product Benefit Input'!$F120*'3. Product Benefit Input'!$L120)),0)</f>
        <v>0</v>
      </c>
      <c r="I120" s="24">
        <f>IFERROR(-VLOOKUP($D120,'0. Control Panel'!$C$7:$F$16,4,FALSE)*(('3. Product Benefit Input'!$F120+'3. Product Benefit Input'!J120)*'3. Product Benefit Input'!$L120)+(VLOOKUP($D120,'0. Control Panel'!$C$7:$F$16,4,FALSE)*('3. Product Benefit Input'!$F120*'3. Product Benefit Input'!$L120)),0)</f>
        <v>0</v>
      </c>
      <c r="K120" s="24">
        <f>IFERROR((VLOOKUP($D120,'0. Control Panel'!$C$7:$F$16,4,FALSE)*('3. Product Benefit Input'!$F120+'3. Product Benefit Input'!H120)*'3. Product Benefit Input'!$L120)-(VLOOKUP($D120,'0. Control Panel'!$C$7:$F$16,4,FALSE)*('3. Product Benefit Input'!$F120+'3. Product Benefit Input'!H120)*'3. Product Benefit Input'!N120),0)</f>
        <v>0</v>
      </c>
      <c r="L120" s="24">
        <f>IFERROR((VLOOKUP($D120,'0. Control Panel'!$C$7:$F$16,4,FALSE)*('3. Product Benefit Input'!$F120+'3. Product Benefit Input'!I120)*'3. Product Benefit Input'!$L120)-(VLOOKUP($D120,'0. Control Panel'!$C$7:$F$16,4,FALSE)*('3. Product Benefit Input'!$F120+'3. Product Benefit Input'!I120)*'3. Product Benefit Input'!O120),0)</f>
        <v>0</v>
      </c>
      <c r="M120" s="24">
        <f>IFERROR((VLOOKUP($D120,'0. Control Panel'!$C$7:$F$16,4,FALSE)*('3. Product Benefit Input'!$F120+'3. Product Benefit Input'!J120)*'3. Product Benefit Input'!$L120)-(VLOOKUP($D120,'0. Control Panel'!$C$7:$F$16,4,FALSE)*('3. Product Benefit Input'!$F120+'3. Product Benefit Input'!J120)*'3. Product Benefit Input'!P120),0)</f>
        <v>0</v>
      </c>
      <c r="O120" s="24">
        <f>'3. Product Benefit Input'!T120</f>
        <v>0</v>
      </c>
      <c r="P120" s="24">
        <f>'3. Product Benefit Input'!U120</f>
        <v>0</v>
      </c>
      <c r="Q120" s="24">
        <f>'3. Product Benefit Input'!V120</f>
        <v>0</v>
      </c>
      <c r="S120" s="24">
        <f t="shared" si="109"/>
        <v>0</v>
      </c>
      <c r="T120" s="24">
        <f t="shared" si="110"/>
        <v>0</v>
      </c>
      <c r="U120" s="24">
        <f t="shared" si="111"/>
        <v>0</v>
      </c>
    </row>
    <row r="121" spans="1:21" ht="16.5" thickBot="1" x14ac:dyDescent="0.3">
      <c r="A121" s="22" t="str">
        <f>D121&amp;$C$110</f>
        <v>All Departments/FunctionsP9</v>
      </c>
      <c r="B121" s="22"/>
      <c r="C121" s="23"/>
      <c r="D121" s="27" t="str">
        <f>D108</f>
        <v>All Departments/Functions</v>
      </c>
      <c r="E121" s="23"/>
      <c r="F121" s="23"/>
      <c r="G121" s="28">
        <f>SUM(G111:G120)</f>
        <v>0</v>
      </c>
      <c r="H121" s="28">
        <f t="shared" ref="H121" si="113">SUM(H111:H120)</f>
        <v>0</v>
      </c>
      <c r="I121" s="28">
        <f t="shared" ref="I121" si="114">SUM(I111:I120)</f>
        <v>0</v>
      </c>
      <c r="J121" s="23"/>
      <c r="K121" s="28">
        <f>SUM(K111:K120)</f>
        <v>0</v>
      </c>
      <c r="L121" s="28">
        <f t="shared" ref="L121" si="115">SUM(L111:L120)</f>
        <v>0</v>
      </c>
      <c r="M121" s="28">
        <f t="shared" ref="M121" si="116">SUM(M111:M120)</f>
        <v>0</v>
      </c>
      <c r="N121" s="29"/>
      <c r="O121" s="28">
        <f t="shared" ref="O121" si="117">SUM(O111:O120)</f>
        <v>0</v>
      </c>
      <c r="P121" s="28">
        <f t="shared" ref="P121" si="118">SUM(P111:P120)</f>
        <v>0</v>
      </c>
      <c r="Q121" s="28">
        <f t="shared" ref="Q121" si="119">SUM(Q111:Q120)</f>
        <v>0</v>
      </c>
      <c r="R121" s="29"/>
      <c r="S121" s="28">
        <f t="shared" ref="S121" si="120">SUM(S111:S120)</f>
        <v>0</v>
      </c>
      <c r="T121" s="28">
        <f t="shared" ref="T121" si="121">SUM(T111:T120)</f>
        <v>0</v>
      </c>
      <c r="U121" s="28">
        <f t="shared" ref="U121" si="122">SUM(U111:U120)</f>
        <v>0</v>
      </c>
    </row>
    <row r="122" spans="1:21" ht="16.5" thickTop="1" x14ac:dyDescent="0.25"/>
    <row r="123" spans="1:21" ht="15.95" customHeight="1" x14ac:dyDescent="0.25">
      <c r="C123" s="12" t="s">
        <v>31</v>
      </c>
      <c r="D123" s="30" t="str">
        <f>IF(INDEX('0. Control Panel'!$B$31:$C$41,MATCH('3.1 Product Benefit Output'!$C123,'0. Control Panel'!$B$31:$B$41,0),2)="","n/a",INDEX('0. Control Panel'!$B$31:$C$41,MATCH('3.1 Product Benefit Output'!$C123,'0. Control Panel'!$B$31:$B$41,0),2))</f>
        <v>n/a</v>
      </c>
      <c r="G123"/>
      <c r="H123"/>
      <c r="I123"/>
      <c r="J123"/>
      <c r="K123"/>
      <c r="L123"/>
      <c r="M123"/>
      <c r="N123"/>
      <c r="O123"/>
      <c r="P123"/>
      <c r="Q123"/>
      <c r="R123"/>
      <c r="S123"/>
      <c r="T123"/>
      <c r="U123"/>
    </row>
    <row r="124" spans="1:21" x14ac:dyDescent="0.25">
      <c r="A124" t="str">
        <f>D124&amp;$C$123</f>
        <v>ITP10</v>
      </c>
      <c r="C124" s="5">
        <v>1</v>
      </c>
      <c r="D124" s="15" t="str">
        <f>IF(C124="-","-",INDEX('0. Control Panel'!$B$6:$K$16,MATCH('3.1 Product Benefit Output'!$C124,'0. Control Panel'!$B$6:$B$16,0),MATCH(D$6,'0. Control Panel'!$B$6:$K$6,0)))</f>
        <v>IT</v>
      </c>
      <c r="E124" s="5"/>
      <c r="F124" s="2"/>
      <c r="G124" s="24">
        <f>IFERROR(-VLOOKUP($D124,'0. Control Panel'!$C$7:$F$16,4,FALSE)*(('3. Product Benefit Input'!$F124+'3. Product Benefit Input'!H124)*'3. Product Benefit Input'!$L124)+(VLOOKUP($D124,'0. Control Panel'!$C$7:$F$16,4,FALSE)*('3. Product Benefit Input'!$F124*'3. Product Benefit Input'!$L124)),0)</f>
        <v>0</v>
      </c>
      <c r="H124" s="24">
        <f>IFERROR(-VLOOKUP($D124,'0. Control Panel'!$C$7:$F$16,4,FALSE)*(('3. Product Benefit Input'!$F124+'3. Product Benefit Input'!I124)*'3. Product Benefit Input'!$L124)+(VLOOKUP($D124,'0. Control Panel'!$C$7:$F$16,4,FALSE)*('3. Product Benefit Input'!$F124*'3. Product Benefit Input'!$L124)),0)</f>
        <v>0</v>
      </c>
      <c r="I124" s="24">
        <f>IFERROR(-VLOOKUP($D124,'0. Control Panel'!$C$7:$F$16,4,FALSE)*(('3. Product Benefit Input'!$F124+'3. Product Benefit Input'!J124)*'3. Product Benefit Input'!$L124)+(VLOOKUP($D124,'0. Control Panel'!$C$7:$F$16,4,FALSE)*('3. Product Benefit Input'!$F124*'3. Product Benefit Input'!$L124)),0)</f>
        <v>0</v>
      </c>
      <c r="K124" s="24">
        <f>IFERROR((VLOOKUP($D124,'0. Control Panel'!$C$7:$F$16,4,FALSE)*('3. Product Benefit Input'!$F124+'3. Product Benefit Input'!H124)*'3. Product Benefit Input'!$L124)-(VLOOKUP($D124,'0. Control Panel'!$C$7:$F$16,4,FALSE)*('3. Product Benefit Input'!$F124+'3. Product Benefit Input'!H124)*'3. Product Benefit Input'!N124),0)</f>
        <v>0</v>
      </c>
      <c r="L124" s="24">
        <f>IFERROR((VLOOKUP($D124,'0. Control Panel'!$C$7:$F$16,4,FALSE)*('3. Product Benefit Input'!$F124+'3. Product Benefit Input'!I124)*'3. Product Benefit Input'!$L124)-(VLOOKUP($D124,'0. Control Panel'!$C$7:$F$16,4,FALSE)*('3. Product Benefit Input'!$F124+'3. Product Benefit Input'!I124)*'3. Product Benefit Input'!O124),0)</f>
        <v>0</v>
      </c>
      <c r="M124" s="24">
        <f>IFERROR((VLOOKUP($D124,'0. Control Panel'!$C$7:$F$16,4,FALSE)*('3. Product Benefit Input'!$F124+'3. Product Benefit Input'!J124)*'3. Product Benefit Input'!$L124)-(VLOOKUP($D124,'0. Control Panel'!$C$7:$F$16,4,FALSE)*('3. Product Benefit Input'!$F124+'3. Product Benefit Input'!J124)*'3. Product Benefit Input'!P124),0)</f>
        <v>0</v>
      </c>
      <c r="O124" s="24">
        <f>'3. Product Benefit Input'!T124</f>
        <v>0</v>
      </c>
      <c r="P124" s="24">
        <f>'3. Product Benefit Input'!U124</f>
        <v>0</v>
      </c>
      <c r="Q124" s="24">
        <f>'3. Product Benefit Input'!V124</f>
        <v>0</v>
      </c>
      <c r="S124" s="24">
        <f t="shared" ref="S124:S133" si="123">SUM(G124,K124,O124)</f>
        <v>0</v>
      </c>
      <c r="T124" s="24">
        <f t="shared" ref="T124:T133" si="124">SUM(H124,L124,P124)</f>
        <v>0</v>
      </c>
      <c r="U124" s="24">
        <f t="shared" ref="U124:U133" si="125">SUM(I124,M124,Q124)</f>
        <v>0</v>
      </c>
    </row>
    <row r="125" spans="1:21" x14ac:dyDescent="0.25">
      <c r="A125" t="str">
        <f t="shared" ref="A125:A133" si="126">D125&amp;$C$123</f>
        <v>SalesP10</v>
      </c>
      <c r="C125" s="6">
        <f>IF(C124="-","-",IF(C124+1&gt;COUNTA('0. Control Panel'!$C$7:$C$16),"-",C124+1))</f>
        <v>2</v>
      </c>
      <c r="D125" s="16" t="str">
        <f>IF(C125="-","-",INDEX('0. Control Panel'!$B$6:$K$16,MATCH('3.1 Product Benefit Output'!$C125,'0. Control Panel'!$B$6:$B$16,0),MATCH(D$6,'0. Control Panel'!$B$6:$K$6,0)))</f>
        <v>Sales</v>
      </c>
      <c r="E125" s="6"/>
      <c r="F125" s="2"/>
      <c r="G125" s="24">
        <f>IFERROR(-VLOOKUP($D125,'0. Control Panel'!$C$7:$F$16,4,FALSE)*(('3. Product Benefit Input'!$F125+'3. Product Benefit Input'!H125)*'3. Product Benefit Input'!$L125)+(VLOOKUP($D125,'0. Control Panel'!$C$7:$F$16,4,FALSE)*('3. Product Benefit Input'!$F125*'3. Product Benefit Input'!$L125)),0)</f>
        <v>0</v>
      </c>
      <c r="H125" s="24">
        <f>IFERROR(-VLOOKUP($D125,'0. Control Panel'!$C$7:$F$16,4,FALSE)*(('3. Product Benefit Input'!$F125+'3. Product Benefit Input'!I125)*'3. Product Benefit Input'!$L125)+(VLOOKUP($D125,'0. Control Panel'!$C$7:$F$16,4,FALSE)*('3. Product Benefit Input'!$F125*'3. Product Benefit Input'!$L125)),0)</f>
        <v>0</v>
      </c>
      <c r="I125" s="24">
        <f>IFERROR(-VLOOKUP($D125,'0. Control Panel'!$C$7:$F$16,4,FALSE)*(('3. Product Benefit Input'!$F125+'3. Product Benefit Input'!J125)*'3. Product Benefit Input'!$L125)+(VLOOKUP($D125,'0. Control Panel'!$C$7:$F$16,4,FALSE)*('3. Product Benefit Input'!$F125*'3. Product Benefit Input'!$L125)),0)</f>
        <v>0</v>
      </c>
      <c r="K125" s="24">
        <f>IFERROR((VLOOKUP($D125,'0. Control Panel'!$C$7:$F$16,4,FALSE)*('3. Product Benefit Input'!$F125+'3. Product Benefit Input'!H125)*'3. Product Benefit Input'!$L125)-(VLOOKUP($D125,'0. Control Panel'!$C$7:$F$16,4,FALSE)*('3. Product Benefit Input'!$F125+'3. Product Benefit Input'!H125)*'3. Product Benefit Input'!N125),0)</f>
        <v>0</v>
      </c>
      <c r="L125" s="24">
        <f>IFERROR((VLOOKUP($D125,'0. Control Panel'!$C$7:$F$16,4,FALSE)*('3. Product Benefit Input'!$F125+'3. Product Benefit Input'!I125)*'3. Product Benefit Input'!$L125)-(VLOOKUP($D125,'0. Control Panel'!$C$7:$F$16,4,FALSE)*('3. Product Benefit Input'!$F125+'3. Product Benefit Input'!I125)*'3. Product Benefit Input'!O125),0)</f>
        <v>0</v>
      </c>
      <c r="M125" s="24">
        <f>IFERROR((VLOOKUP($D125,'0. Control Panel'!$C$7:$F$16,4,FALSE)*('3. Product Benefit Input'!$F125+'3. Product Benefit Input'!J125)*'3. Product Benefit Input'!$L125)-(VLOOKUP($D125,'0. Control Panel'!$C$7:$F$16,4,FALSE)*('3. Product Benefit Input'!$F125+'3. Product Benefit Input'!J125)*'3. Product Benefit Input'!P125),0)</f>
        <v>0</v>
      </c>
      <c r="O125" s="24">
        <f>'3. Product Benefit Input'!T125</f>
        <v>0</v>
      </c>
      <c r="P125" s="24">
        <f>'3. Product Benefit Input'!U125</f>
        <v>0</v>
      </c>
      <c r="Q125" s="24">
        <f>'3. Product Benefit Input'!V125</f>
        <v>0</v>
      </c>
      <c r="S125" s="24">
        <f t="shared" si="123"/>
        <v>0</v>
      </c>
      <c r="T125" s="24">
        <f t="shared" si="124"/>
        <v>0</v>
      </c>
      <c r="U125" s="24">
        <f t="shared" si="125"/>
        <v>0</v>
      </c>
    </row>
    <row r="126" spans="1:21" x14ac:dyDescent="0.25">
      <c r="A126" t="str">
        <f t="shared" si="126"/>
        <v>Product AP10</v>
      </c>
      <c r="C126" s="6">
        <f>IF(C125="-","-",IF(C125+1&gt;COUNTA('0. Control Panel'!$C$7:$C$16),"-",C125+1))</f>
        <v>3</v>
      </c>
      <c r="D126" s="16" t="str">
        <f>IF(C126="-","-",INDEX('0. Control Panel'!$B$6:$K$16,MATCH('3.1 Product Benefit Output'!$C126,'0. Control Panel'!$B$6:$B$16,0),MATCH(D$6,'0. Control Panel'!$B$6:$K$6,0)))</f>
        <v>Product A</v>
      </c>
      <c r="E126" s="6"/>
      <c r="F126" s="2"/>
      <c r="G126" s="24">
        <f>IFERROR(-VLOOKUP($D126,'0. Control Panel'!$C$7:$F$16,4,FALSE)*(('3. Product Benefit Input'!$F126+'3. Product Benefit Input'!H126)*'3. Product Benefit Input'!$L126)+(VLOOKUP($D126,'0. Control Panel'!$C$7:$F$16,4,FALSE)*('3. Product Benefit Input'!$F126*'3. Product Benefit Input'!$L126)),0)</f>
        <v>0</v>
      </c>
      <c r="H126" s="24">
        <f>IFERROR(-VLOOKUP($D126,'0. Control Panel'!$C$7:$F$16,4,FALSE)*(('3. Product Benefit Input'!$F126+'3. Product Benefit Input'!I126)*'3. Product Benefit Input'!$L126)+(VLOOKUP($D126,'0. Control Panel'!$C$7:$F$16,4,FALSE)*('3. Product Benefit Input'!$F126*'3. Product Benefit Input'!$L126)),0)</f>
        <v>0</v>
      </c>
      <c r="I126" s="24">
        <f>IFERROR(-VLOOKUP($D126,'0. Control Panel'!$C$7:$F$16,4,FALSE)*(('3. Product Benefit Input'!$F126+'3. Product Benefit Input'!J126)*'3. Product Benefit Input'!$L126)+(VLOOKUP($D126,'0. Control Panel'!$C$7:$F$16,4,FALSE)*('3. Product Benefit Input'!$F126*'3. Product Benefit Input'!$L126)),0)</f>
        <v>0</v>
      </c>
      <c r="K126" s="24">
        <f>IFERROR((VLOOKUP($D126,'0. Control Panel'!$C$7:$F$16,4,FALSE)*('3. Product Benefit Input'!$F126+'3. Product Benefit Input'!H126)*'3. Product Benefit Input'!$L126)-(VLOOKUP($D126,'0. Control Panel'!$C$7:$F$16,4,FALSE)*('3. Product Benefit Input'!$F126+'3. Product Benefit Input'!H126)*'3. Product Benefit Input'!N126),0)</f>
        <v>0</v>
      </c>
      <c r="L126" s="24">
        <f>IFERROR((VLOOKUP($D126,'0. Control Panel'!$C$7:$F$16,4,FALSE)*('3. Product Benefit Input'!$F126+'3. Product Benefit Input'!I126)*'3. Product Benefit Input'!$L126)-(VLOOKUP($D126,'0. Control Panel'!$C$7:$F$16,4,FALSE)*('3. Product Benefit Input'!$F126+'3. Product Benefit Input'!I126)*'3. Product Benefit Input'!O126),0)</f>
        <v>0</v>
      </c>
      <c r="M126" s="24">
        <f>IFERROR((VLOOKUP($D126,'0. Control Panel'!$C$7:$F$16,4,FALSE)*('3. Product Benefit Input'!$F126+'3. Product Benefit Input'!J126)*'3. Product Benefit Input'!$L126)-(VLOOKUP($D126,'0. Control Panel'!$C$7:$F$16,4,FALSE)*('3. Product Benefit Input'!$F126+'3. Product Benefit Input'!J126)*'3. Product Benefit Input'!P126),0)</f>
        <v>0</v>
      </c>
      <c r="O126" s="24">
        <f>'3. Product Benefit Input'!T126</f>
        <v>0</v>
      </c>
      <c r="P126" s="24">
        <f>'3. Product Benefit Input'!U126</f>
        <v>0</v>
      </c>
      <c r="Q126" s="24">
        <f>'3. Product Benefit Input'!V126</f>
        <v>0</v>
      </c>
      <c r="S126" s="24">
        <f t="shared" si="123"/>
        <v>0</v>
      </c>
      <c r="T126" s="24">
        <f t="shared" si="124"/>
        <v>0</v>
      </c>
      <c r="U126" s="24">
        <f t="shared" si="125"/>
        <v>0</v>
      </c>
    </row>
    <row r="127" spans="1:21" x14ac:dyDescent="0.25">
      <c r="A127" t="str">
        <f t="shared" si="126"/>
        <v>Product BP10</v>
      </c>
      <c r="C127" s="6">
        <f>IF(C126="-","-",IF(C126+1&gt;COUNTA('0. Control Panel'!$C$7:$C$16),"-",C126+1))</f>
        <v>4</v>
      </c>
      <c r="D127" s="16" t="str">
        <f>IF(C127="-","-",INDEX('0. Control Panel'!$B$6:$K$16,MATCH('3.1 Product Benefit Output'!$C127,'0. Control Panel'!$B$6:$B$16,0),MATCH(D$6,'0. Control Panel'!$B$6:$K$6,0)))</f>
        <v>Product B</v>
      </c>
      <c r="E127" s="6"/>
      <c r="F127" s="2"/>
      <c r="G127" s="24">
        <f>IFERROR(-VLOOKUP($D127,'0. Control Panel'!$C$7:$F$16,4,FALSE)*(('3. Product Benefit Input'!$F127+'3. Product Benefit Input'!H127)*'3. Product Benefit Input'!$L127)+(VLOOKUP($D127,'0. Control Panel'!$C$7:$F$16,4,FALSE)*('3. Product Benefit Input'!$F127*'3. Product Benefit Input'!$L127)),0)</f>
        <v>0</v>
      </c>
      <c r="H127" s="24">
        <f>IFERROR(-VLOOKUP($D127,'0. Control Panel'!$C$7:$F$16,4,FALSE)*(('3. Product Benefit Input'!$F127+'3. Product Benefit Input'!I127)*'3. Product Benefit Input'!$L127)+(VLOOKUP($D127,'0. Control Panel'!$C$7:$F$16,4,FALSE)*('3. Product Benefit Input'!$F127*'3. Product Benefit Input'!$L127)),0)</f>
        <v>0</v>
      </c>
      <c r="I127" s="24">
        <f>IFERROR(-VLOOKUP($D127,'0. Control Panel'!$C$7:$F$16,4,FALSE)*(('3. Product Benefit Input'!$F127+'3. Product Benefit Input'!J127)*'3. Product Benefit Input'!$L127)+(VLOOKUP($D127,'0. Control Panel'!$C$7:$F$16,4,FALSE)*('3. Product Benefit Input'!$F127*'3. Product Benefit Input'!$L127)),0)</f>
        <v>0</v>
      </c>
      <c r="K127" s="24">
        <f>IFERROR((VLOOKUP($D127,'0. Control Panel'!$C$7:$F$16,4,FALSE)*('3. Product Benefit Input'!$F127+'3. Product Benefit Input'!H127)*'3. Product Benefit Input'!$L127)-(VLOOKUP($D127,'0. Control Panel'!$C$7:$F$16,4,FALSE)*('3. Product Benefit Input'!$F127+'3. Product Benefit Input'!H127)*'3. Product Benefit Input'!N127),0)</f>
        <v>0</v>
      </c>
      <c r="L127" s="24">
        <f>IFERROR((VLOOKUP($D127,'0. Control Panel'!$C$7:$F$16,4,FALSE)*('3. Product Benefit Input'!$F127+'3. Product Benefit Input'!I127)*'3. Product Benefit Input'!$L127)-(VLOOKUP($D127,'0. Control Panel'!$C$7:$F$16,4,FALSE)*('3. Product Benefit Input'!$F127+'3. Product Benefit Input'!I127)*'3. Product Benefit Input'!O127),0)</f>
        <v>0</v>
      </c>
      <c r="M127" s="24">
        <f>IFERROR((VLOOKUP($D127,'0. Control Panel'!$C$7:$F$16,4,FALSE)*('3. Product Benefit Input'!$F127+'3. Product Benefit Input'!J127)*'3. Product Benefit Input'!$L127)-(VLOOKUP($D127,'0. Control Panel'!$C$7:$F$16,4,FALSE)*('3. Product Benefit Input'!$F127+'3. Product Benefit Input'!J127)*'3. Product Benefit Input'!P127),0)</f>
        <v>0</v>
      </c>
      <c r="O127" s="24">
        <f>'3. Product Benefit Input'!T127</f>
        <v>0</v>
      </c>
      <c r="P127" s="24">
        <f>'3. Product Benefit Input'!U127</f>
        <v>0</v>
      </c>
      <c r="Q127" s="24">
        <f>'3. Product Benefit Input'!V127</f>
        <v>0</v>
      </c>
      <c r="S127" s="24">
        <f t="shared" si="123"/>
        <v>0</v>
      </c>
      <c r="T127" s="24">
        <f t="shared" si="124"/>
        <v>0</v>
      </c>
      <c r="U127" s="24">
        <f t="shared" si="125"/>
        <v>0</v>
      </c>
    </row>
    <row r="128" spans="1:21" x14ac:dyDescent="0.25">
      <c r="A128" t="str">
        <f t="shared" si="126"/>
        <v>R&amp;DP10</v>
      </c>
      <c r="C128" s="6">
        <f>IF(C127="-","-",IF(C127+1&gt;COUNTA('0. Control Panel'!$C$7:$C$16),"-",C127+1))</f>
        <v>5</v>
      </c>
      <c r="D128" s="16" t="str">
        <f>IF(C128="-","-",INDEX('0. Control Panel'!$B$6:$K$16,MATCH('3.1 Product Benefit Output'!$C128,'0. Control Panel'!$B$6:$B$16,0),MATCH(D$6,'0. Control Panel'!$B$6:$K$6,0)))</f>
        <v>R&amp;D</v>
      </c>
      <c r="E128" s="6"/>
      <c r="F128" s="2"/>
      <c r="G128" s="24">
        <f>IFERROR(-VLOOKUP($D128,'0. Control Panel'!$C$7:$F$16,4,FALSE)*(('3. Product Benefit Input'!$F128+'3. Product Benefit Input'!H128)*'3. Product Benefit Input'!$L128)+(VLOOKUP($D128,'0. Control Panel'!$C$7:$F$16,4,FALSE)*('3. Product Benefit Input'!$F128*'3. Product Benefit Input'!$L128)),0)</f>
        <v>0</v>
      </c>
      <c r="H128" s="24">
        <f>IFERROR(-VLOOKUP($D128,'0. Control Panel'!$C$7:$F$16,4,FALSE)*(('3. Product Benefit Input'!$F128+'3. Product Benefit Input'!I128)*'3. Product Benefit Input'!$L128)+(VLOOKUP($D128,'0. Control Panel'!$C$7:$F$16,4,FALSE)*('3. Product Benefit Input'!$F128*'3. Product Benefit Input'!$L128)),0)</f>
        <v>0</v>
      </c>
      <c r="I128" s="24">
        <f>IFERROR(-VLOOKUP($D128,'0. Control Panel'!$C$7:$F$16,4,FALSE)*(('3. Product Benefit Input'!$F128+'3. Product Benefit Input'!J128)*'3. Product Benefit Input'!$L128)+(VLOOKUP($D128,'0. Control Panel'!$C$7:$F$16,4,FALSE)*('3. Product Benefit Input'!$F128*'3. Product Benefit Input'!$L128)),0)</f>
        <v>0</v>
      </c>
      <c r="K128" s="24">
        <f>IFERROR((VLOOKUP($D128,'0. Control Panel'!$C$7:$F$16,4,FALSE)*('3. Product Benefit Input'!$F128+'3. Product Benefit Input'!H128)*'3. Product Benefit Input'!$L128)-(VLOOKUP($D128,'0. Control Panel'!$C$7:$F$16,4,FALSE)*('3. Product Benefit Input'!$F128+'3. Product Benefit Input'!H128)*'3. Product Benefit Input'!N128),0)</f>
        <v>0</v>
      </c>
      <c r="L128" s="24">
        <f>IFERROR((VLOOKUP($D128,'0. Control Panel'!$C$7:$F$16,4,FALSE)*('3. Product Benefit Input'!$F128+'3. Product Benefit Input'!I128)*'3. Product Benefit Input'!$L128)-(VLOOKUP($D128,'0. Control Panel'!$C$7:$F$16,4,FALSE)*('3. Product Benefit Input'!$F128+'3. Product Benefit Input'!I128)*'3. Product Benefit Input'!O128),0)</f>
        <v>0</v>
      </c>
      <c r="M128" s="24">
        <f>IFERROR((VLOOKUP($D128,'0. Control Panel'!$C$7:$F$16,4,FALSE)*('3. Product Benefit Input'!$F128+'3. Product Benefit Input'!J128)*'3. Product Benefit Input'!$L128)-(VLOOKUP($D128,'0. Control Panel'!$C$7:$F$16,4,FALSE)*('3. Product Benefit Input'!$F128+'3. Product Benefit Input'!J128)*'3. Product Benefit Input'!P128),0)</f>
        <v>0</v>
      </c>
      <c r="O128" s="24">
        <f>'3. Product Benefit Input'!T128</f>
        <v>0</v>
      </c>
      <c r="P128" s="24">
        <f>'3. Product Benefit Input'!U128</f>
        <v>0</v>
      </c>
      <c r="Q128" s="24">
        <f>'3. Product Benefit Input'!V128</f>
        <v>0</v>
      </c>
      <c r="S128" s="24">
        <f t="shared" si="123"/>
        <v>0</v>
      </c>
      <c r="T128" s="24">
        <f t="shared" si="124"/>
        <v>0</v>
      </c>
      <c r="U128" s="24">
        <f t="shared" si="125"/>
        <v>0</v>
      </c>
    </row>
    <row r="129" spans="1:21" x14ac:dyDescent="0.25">
      <c r="A129" t="str">
        <f t="shared" si="126"/>
        <v>HRP10</v>
      </c>
      <c r="C129" s="6">
        <f>IF(C128="-","-",IF(C128+1&gt;COUNTA('0. Control Panel'!$C$7:$C$16),"-",C128+1))</f>
        <v>6</v>
      </c>
      <c r="D129" s="16" t="str">
        <f>IF(C129="-","-",INDEX('0. Control Panel'!$B$6:$K$16,MATCH('3.1 Product Benefit Output'!$C129,'0. Control Panel'!$B$6:$B$16,0),MATCH(D$6,'0. Control Panel'!$B$6:$K$6,0)))</f>
        <v>HR</v>
      </c>
      <c r="E129" s="6"/>
      <c r="F129" s="2"/>
      <c r="G129" s="24">
        <f>IFERROR(-VLOOKUP($D129,'0. Control Panel'!$C$7:$F$16,4,FALSE)*(('3. Product Benefit Input'!$F129+'3. Product Benefit Input'!H129)*'3. Product Benefit Input'!$L129)+(VLOOKUP($D129,'0. Control Panel'!$C$7:$F$16,4,FALSE)*('3. Product Benefit Input'!$F129*'3. Product Benefit Input'!$L129)),0)</f>
        <v>0</v>
      </c>
      <c r="H129" s="24">
        <f>IFERROR(-VLOOKUP($D129,'0. Control Panel'!$C$7:$F$16,4,FALSE)*(('3. Product Benefit Input'!$F129+'3. Product Benefit Input'!I129)*'3. Product Benefit Input'!$L129)+(VLOOKUP($D129,'0. Control Panel'!$C$7:$F$16,4,FALSE)*('3. Product Benefit Input'!$F129*'3. Product Benefit Input'!$L129)),0)</f>
        <v>0</v>
      </c>
      <c r="I129" s="24">
        <f>IFERROR(-VLOOKUP($D129,'0. Control Panel'!$C$7:$F$16,4,FALSE)*(('3. Product Benefit Input'!$F129+'3. Product Benefit Input'!J129)*'3. Product Benefit Input'!$L129)+(VLOOKUP($D129,'0. Control Panel'!$C$7:$F$16,4,FALSE)*('3. Product Benefit Input'!$F129*'3. Product Benefit Input'!$L129)),0)</f>
        <v>0</v>
      </c>
      <c r="K129" s="24">
        <f>IFERROR((VLOOKUP($D129,'0. Control Panel'!$C$7:$F$16,4,FALSE)*('3. Product Benefit Input'!$F129+'3. Product Benefit Input'!H129)*'3. Product Benefit Input'!$L129)-(VLOOKUP($D129,'0. Control Panel'!$C$7:$F$16,4,FALSE)*('3. Product Benefit Input'!$F129+'3. Product Benefit Input'!H129)*'3. Product Benefit Input'!N129),0)</f>
        <v>0</v>
      </c>
      <c r="L129" s="24">
        <f>IFERROR((VLOOKUP($D129,'0. Control Panel'!$C$7:$F$16,4,FALSE)*('3. Product Benefit Input'!$F129+'3. Product Benefit Input'!I129)*'3. Product Benefit Input'!$L129)-(VLOOKUP($D129,'0. Control Panel'!$C$7:$F$16,4,FALSE)*('3. Product Benefit Input'!$F129+'3. Product Benefit Input'!I129)*'3. Product Benefit Input'!O129),0)</f>
        <v>0</v>
      </c>
      <c r="M129" s="24">
        <f>IFERROR((VLOOKUP($D129,'0. Control Panel'!$C$7:$F$16,4,FALSE)*('3. Product Benefit Input'!$F129+'3. Product Benefit Input'!J129)*'3. Product Benefit Input'!$L129)-(VLOOKUP($D129,'0. Control Panel'!$C$7:$F$16,4,FALSE)*('3. Product Benefit Input'!$F129+'3. Product Benefit Input'!J129)*'3. Product Benefit Input'!P129),0)</f>
        <v>0</v>
      </c>
      <c r="O129" s="24">
        <f>'3. Product Benefit Input'!T129</f>
        <v>0</v>
      </c>
      <c r="P129" s="24">
        <f>'3. Product Benefit Input'!U129</f>
        <v>0</v>
      </c>
      <c r="Q129" s="24">
        <f>'3. Product Benefit Input'!V129</f>
        <v>0</v>
      </c>
      <c r="S129" s="24">
        <f t="shared" si="123"/>
        <v>0</v>
      </c>
      <c r="T129" s="24">
        <f t="shared" si="124"/>
        <v>0</v>
      </c>
      <c r="U129" s="24">
        <f t="shared" si="125"/>
        <v>0</v>
      </c>
    </row>
    <row r="130" spans="1:21" x14ac:dyDescent="0.25">
      <c r="A130" t="str">
        <f t="shared" si="126"/>
        <v>FinanceP10</v>
      </c>
      <c r="C130" s="6">
        <f>IF(C129="-","-",IF(C129+1&gt;COUNTA('0. Control Panel'!$C$7:$C$16),"-",C129+1))</f>
        <v>7</v>
      </c>
      <c r="D130" s="16" t="str">
        <f>IF(C130="-","-",INDEX('0. Control Panel'!$B$6:$K$16,MATCH('3.1 Product Benefit Output'!$C130,'0. Control Panel'!$B$6:$B$16,0),MATCH(D$6,'0. Control Panel'!$B$6:$K$6,0)))</f>
        <v>Finance</v>
      </c>
      <c r="E130" s="6"/>
      <c r="F130" s="2"/>
      <c r="G130" s="24">
        <f>IFERROR(-VLOOKUP($D130,'0. Control Panel'!$C$7:$F$16,4,FALSE)*(('3. Product Benefit Input'!$F130+'3. Product Benefit Input'!H130)*'3. Product Benefit Input'!$L130)+(VLOOKUP($D130,'0. Control Panel'!$C$7:$F$16,4,FALSE)*('3. Product Benefit Input'!$F130*'3. Product Benefit Input'!$L130)),0)</f>
        <v>0</v>
      </c>
      <c r="H130" s="24">
        <f>IFERROR(-VLOOKUP($D130,'0. Control Panel'!$C$7:$F$16,4,FALSE)*(('3. Product Benefit Input'!$F130+'3. Product Benefit Input'!I130)*'3. Product Benefit Input'!$L130)+(VLOOKUP($D130,'0. Control Panel'!$C$7:$F$16,4,FALSE)*('3. Product Benefit Input'!$F130*'3. Product Benefit Input'!$L130)),0)</f>
        <v>0</v>
      </c>
      <c r="I130" s="24">
        <f>IFERROR(-VLOOKUP($D130,'0. Control Panel'!$C$7:$F$16,4,FALSE)*(('3. Product Benefit Input'!$F130+'3. Product Benefit Input'!J130)*'3. Product Benefit Input'!$L130)+(VLOOKUP($D130,'0. Control Panel'!$C$7:$F$16,4,FALSE)*('3. Product Benefit Input'!$F130*'3. Product Benefit Input'!$L130)),0)</f>
        <v>0</v>
      </c>
      <c r="K130" s="24">
        <f>IFERROR((VLOOKUP($D130,'0. Control Panel'!$C$7:$F$16,4,FALSE)*('3. Product Benefit Input'!$F130+'3. Product Benefit Input'!H130)*'3. Product Benefit Input'!$L130)-(VLOOKUP($D130,'0. Control Panel'!$C$7:$F$16,4,FALSE)*('3. Product Benefit Input'!$F130+'3. Product Benefit Input'!H130)*'3. Product Benefit Input'!N130),0)</f>
        <v>0</v>
      </c>
      <c r="L130" s="24">
        <f>IFERROR((VLOOKUP($D130,'0. Control Panel'!$C$7:$F$16,4,FALSE)*('3. Product Benefit Input'!$F130+'3. Product Benefit Input'!I130)*'3. Product Benefit Input'!$L130)-(VLOOKUP($D130,'0. Control Panel'!$C$7:$F$16,4,FALSE)*('3. Product Benefit Input'!$F130+'3. Product Benefit Input'!I130)*'3. Product Benefit Input'!O130),0)</f>
        <v>0</v>
      </c>
      <c r="M130" s="24">
        <f>IFERROR((VLOOKUP($D130,'0. Control Panel'!$C$7:$F$16,4,FALSE)*('3. Product Benefit Input'!$F130+'3. Product Benefit Input'!J130)*'3. Product Benefit Input'!$L130)-(VLOOKUP($D130,'0. Control Panel'!$C$7:$F$16,4,FALSE)*('3. Product Benefit Input'!$F130+'3. Product Benefit Input'!J130)*'3. Product Benefit Input'!P130),0)</f>
        <v>0</v>
      </c>
      <c r="O130" s="24">
        <f>'3. Product Benefit Input'!T130</f>
        <v>0</v>
      </c>
      <c r="P130" s="24">
        <f>'3. Product Benefit Input'!U130</f>
        <v>0</v>
      </c>
      <c r="Q130" s="24">
        <f>'3. Product Benefit Input'!V130</f>
        <v>0</v>
      </c>
      <c r="S130" s="24">
        <f t="shared" si="123"/>
        <v>0</v>
      </c>
      <c r="T130" s="24">
        <f t="shared" si="124"/>
        <v>0</v>
      </c>
      <c r="U130" s="24">
        <f t="shared" si="125"/>
        <v>0</v>
      </c>
    </row>
    <row r="131" spans="1:21" x14ac:dyDescent="0.25">
      <c r="A131" t="str">
        <f t="shared" si="126"/>
        <v>Head OfficeP10</v>
      </c>
      <c r="C131" s="6">
        <f>IF(C130="-","-",IF(C130+1&gt;COUNTA('0. Control Panel'!$C$7:$C$16),"-",C130+1))</f>
        <v>8</v>
      </c>
      <c r="D131" s="16" t="str">
        <f>IF(C131="-","-",INDEX('0. Control Panel'!$B$6:$K$16,MATCH('3.1 Product Benefit Output'!$C131,'0. Control Panel'!$B$6:$B$16,0),MATCH(D$6,'0. Control Panel'!$B$6:$K$6,0)))</f>
        <v>Head Office</v>
      </c>
      <c r="E131" s="6"/>
      <c r="F131" s="2"/>
      <c r="G131" s="24">
        <f>IFERROR(-VLOOKUP($D131,'0. Control Panel'!$C$7:$F$16,4,FALSE)*(('3. Product Benefit Input'!$F131+'3. Product Benefit Input'!H131)*'3. Product Benefit Input'!$L131)+(VLOOKUP($D131,'0. Control Panel'!$C$7:$F$16,4,FALSE)*('3. Product Benefit Input'!$F131*'3. Product Benefit Input'!$L131)),0)</f>
        <v>0</v>
      </c>
      <c r="H131" s="24">
        <f>IFERROR(-VLOOKUP($D131,'0. Control Panel'!$C$7:$F$16,4,FALSE)*(('3. Product Benefit Input'!$F131+'3. Product Benefit Input'!I131)*'3. Product Benefit Input'!$L131)+(VLOOKUP($D131,'0. Control Panel'!$C$7:$F$16,4,FALSE)*('3. Product Benefit Input'!$F131*'3. Product Benefit Input'!$L131)),0)</f>
        <v>0</v>
      </c>
      <c r="I131" s="24">
        <f>IFERROR(-VLOOKUP($D131,'0. Control Panel'!$C$7:$F$16,4,FALSE)*(('3. Product Benefit Input'!$F131+'3. Product Benefit Input'!J131)*'3. Product Benefit Input'!$L131)+(VLOOKUP($D131,'0. Control Panel'!$C$7:$F$16,4,FALSE)*('3. Product Benefit Input'!$F131*'3. Product Benefit Input'!$L131)),0)</f>
        <v>0</v>
      </c>
      <c r="K131" s="24">
        <f>IFERROR((VLOOKUP($D131,'0. Control Panel'!$C$7:$F$16,4,FALSE)*('3. Product Benefit Input'!$F131+'3. Product Benefit Input'!H131)*'3. Product Benefit Input'!$L131)-(VLOOKUP($D131,'0. Control Panel'!$C$7:$F$16,4,FALSE)*('3. Product Benefit Input'!$F131+'3. Product Benefit Input'!H131)*'3. Product Benefit Input'!N131),0)</f>
        <v>0</v>
      </c>
      <c r="L131" s="24">
        <f>IFERROR((VLOOKUP($D131,'0. Control Panel'!$C$7:$F$16,4,FALSE)*('3. Product Benefit Input'!$F131+'3. Product Benefit Input'!I131)*'3. Product Benefit Input'!$L131)-(VLOOKUP($D131,'0. Control Panel'!$C$7:$F$16,4,FALSE)*('3. Product Benefit Input'!$F131+'3. Product Benefit Input'!I131)*'3. Product Benefit Input'!O131),0)</f>
        <v>0</v>
      </c>
      <c r="M131" s="24">
        <f>IFERROR((VLOOKUP($D131,'0. Control Panel'!$C$7:$F$16,4,FALSE)*('3. Product Benefit Input'!$F131+'3. Product Benefit Input'!J131)*'3. Product Benefit Input'!$L131)-(VLOOKUP($D131,'0. Control Panel'!$C$7:$F$16,4,FALSE)*('3. Product Benefit Input'!$F131+'3. Product Benefit Input'!J131)*'3. Product Benefit Input'!P131),0)</f>
        <v>0</v>
      </c>
      <c r="O131" s="24">
        <f>'3. Product Benefit Input'!T131</f>
        <v>0</v>
      </c>
      <c r="P131" s="24">
        <f>'3. Product Benefit Input'!U131</f>
        <v>0</v>
      </c>
      <c r="Q131" s="24">
        <f>'3. Product Benefit Input'!V131</f>
        <v>0</v>
      </c>
      <c r="S131" s="24">
        <f t="shared" si="123"/>
        <v>0</v>
      </c>
      <c r="T131" s="24">
        <f t="shared" si="124"/>
        <v>0</v>
      </c>
      <c r="U131" s="24">
        <f t="shared" si="125"/>
        <v>0</v>
      </c>
    </row>
    <row r="132" spans="1:21" x14ac:dyDescent="0.25">
      <c r="A132" t="str">
        <f t="shared" si="126"/>
        <v>-P10</v>
      </c>
      <c r="C132" s="6" t="str">
        <f>IF(C131="-","-",IF(C131+1&gt;COUNTA('0. Control Panel'!$C$7:$C$16),"-",C131+1))</f>
        <v>-</v>
      </c>
      <c r="D132" s="16" t="str">
        <f>IF(C132="-","-",INDEX('0. Control Panel'!$B$6:$K$16,MATCH('3.1 Product Benefit Output'!$C132,'0. Control Panel'!$B$6:$B$16,0),MATCH(D$6,'0. Control Panel'!$B$6:$K$6,0)))</f>
        <v>-</v>
      </c>
      <c r="E132" s="6"/>
      <c r="F132" s="2"/>
      <c r="G132" s="24">
        <f>IFERROR(-VLOOKUP($D132,'0. Control Panel'!$C$7:$F$16,4,FALSE)*(('3. Product Benefit Input'!$F132+'3. Product Benefit Input'!H132)*'3. Product Benefit Input'!$L132)+(VLOOKUP($D132,'0. Control Panel'!$C$7:$F$16,4,FALSE)*('3. Product Benefit Input'!$F132*'3. Product Benefit Input'!$L132)),0)</f>
        <v>0</v>
      </c>
      <c r="H132" s="24">
        <f>IFERROR(-VLOOKUP($D132,'0. Control Panel'!$C$7:$F$16,4,FALSE)*(('3. Product Benefit Input'!$F132+'3. Product Benefit Input'!I132)*'3. Product Benefit Input'!$L132)+(VLOOKUP($D132,'0. Control Panel'!$C$7:$F$16,4,FALSE)*('3. Product Benefit Input'!$F132*'3. Product Benefit Input'!$L132)),0)</f>
        <v>0</v>
      </c>
      <c r="I132" s="24">
        <f>IFERROR(-VLOOKUP($D132,'0. Control Panel'!$C$7:$F$16,4,FALSE)*(('3. Product Benefit Input'!$F132+'3. Product Benefit Input'!J132)*'3. Product Benefit Input'!$L132)+(VLOOKUP($D132,'0. Control Panel'!$C$7:$F$16,4,FALSE)*('3. Product Benefit Input'!$F132*'3. Product Benefit Input'!$L132)),0)</f>
        <v>0</v>
      </c>
      <c r="K132" s="24">
        <f>IFERROR((VLOOKUP($D132,'0. Control Panel'!$C$7:$F$16,4,FALSE)*('3. Product Benefit Input'!$F132+'3. Product Benefit Input'!H132)*'3. Product Benefit Input'!$L132)-(VLOOKUP($D132,'0. Control Panel'!$C$7:$F$16,4,FALSE)*('3. Product Benefit Input'!$F132+'3. Product Benefit Input'!H132)*'3. Product Benefit Input'!N132),0)</f>
        <v>0</v>
      </c>
      <c r="L132" s="24">
        <f>IFERROR((VLOOKUP($D132,'0. Control Panel'!$C$7:$F$16,4,FALSE)*('3. Product Benefit Input'!$F132+'3. Product Benefit Input'!I132)*'3. Product Benefit Input'!$L132)-(VLOOKUP($D132,'0. Control Panel'!$C$7:$F$16,4,FALSE)*('3. Product Benefit Input'!$F132+'3. Product Benefit Input'!I132)*'3. Product Benefit Input'!O132),0)</f>
        <v>0</v>
      </c>
      <c r="M132" s="24">
        <f>IFERROR((VLOOKUP($D132,'0. Control Panel'!$C$7:$F$16,4,FALSE)*('3. Product Benefit Input'!$F132+'3. Product Benefit Input'!J132)*'3. Product Benefit Input'!$L132)-(VLOOKUP($D132,'0. Control Panel'!$C$7:$F$16,4,FALSE)*('3. Product Benefit Input'!$F132+'3. Product Benefit Input'!J132)*'3. Product Benefit Input'!P132),0)</f>
        <v>0</v>
      </c>
      <c r="O132" s="24">
        <f>'3. Product Benefit Input'!T132</f>
        <v>0</v>
      </c>
      <c r="P132" s="24">
        <f>'3. Product Benefit Input'!U132</f>
        <v>0</v>
      </c>
      <c r="Q132" s="24">
        <f>'3. Product Benefit Input'!V132</f>
        <v>0</v>
      </c>
      <c r="S132" s="24">
        <f t="shared" si="123"/>
        <v>0</v>
      </c>
      <c r="T132" s="24">
        <f t="shared" si="124"/>
        <v>0</v>
      </c>
      <c r="U132" s="24">
        <f t="shared" si="125"/>
        <v>0</v>
      </c>
    </row>
    <row r="133" spans="1:21" x14ac:dyDescent="0.25">
      <c r="A133" t="str">
        <f t="shared" si="126"/>
        <v>-P10</v>
      </c>
      <c r="C133" s="7" t="str">
        <f>IF(C132="-","-",IF(C132+1&gt;COUNTA('0. Control Panel'!$C$7:$C$16),"-",C132+1))</f>
        <v>-</v>
      </c>
      <c r="D133" s="17" t="str">
        <f>IF(C133="-","-",INDEX('0. Control Panel'!$B$6:$K$16,MATCH('3.1 Product Benefit Output'!$C133,'0. Control Panel'!$B$6:$B$16,0),MATCH(D$6,'0. Control Panel'!$B$6:$K$6,0)))</f>
        <v>-</v>
      </c>
      <c r="E133" s="7"/>
      <c r="F133" s="2"/>
      <c r="G133" s="24">
        <f>IFERROR(-VLOOKUP($D133,'0. Control Panel'!$C$7:$F$16,4,FALSE)*(('3. Product Benefit Input'!$F133+'3. Product Benefit Input'!H133)*'3. Product Benefit Input'!$L133)+(VLOOKUP($D133,'0. Control Panel'!$C$7:$F$16,4,FALSE)*('3. Product Benefit Input'!$F133*'3. Product Benefit Input'!$L133)),0)</f>
        <v>0</v>
      </c>
      <c r="H133" s="24">
        <f>IFERROR(-VLOOKUP($D133,'0. Control Panel'!$C$7:$F$16,4,FALSE)*(('3. Product Benefit Input'!$F133+'3. Product Benefit Input'!I133)*'3. Product Benefit Input'!$L133)+(VLOOKUP($D133,'0. Control Panel'!$C$7:$F$16,4,FALSE)*('3. Product Benefit Input'!$F133*'3. Product Benefit Input'!$L133)),0)</f>
        <v>0</v>
      </c>
      <c r="I133" s="24">
        <f>IFERROR(-VLOOKUP($D133,'0. Control Panel'!$C$7:$F$16,4,FALSE)*(('3. Product Benefit Input'!$F133+'3. Product Benefit Input'!J133)*'3. Product Benefit Input'!$L133)+(VLOOKUP($D133,'0. Control Panel'!$C$7:$F$16,4,FALSE)*('3. Product Benefit Input'!$F133*'3. Product Benefit Input'!$L133)),0)</f>
        <v>0</v>
      </c>
      <c r="K133" s="24">
        <f>IFERROR((VLOOKUP($D133,'0. Control Panel'!$C$7:$F$16,4,FALSE)*('3. Product Benefit Input'!$F133+'3. Product Benefit Input'!H133)*'3. Product Benefit Input'!$L133)-(VLOOKUP($D133,'0. Control Panel'!$C$7:$F$16,4,FALSE)*('3. Product Benefit Input'!$F133+'3. Product Benefit Input'!H133)*'3. Product Benefit Input'!N133),0)</f>
        <v>0</v>
      </c>
      <c r="L133" s="24">
        <f>IFERROR((VLOOKUP($D133,'0. Control Panel'!$C$7:$F$16,4,FALSE)*('3. Product Benefit Input'!$F133+'3. Product Benefit Input'!I133)*'3. Product Benefit Input'!$L133)-(VLOOKUP($D133,'0. Control Panel'!$C$7:$F$16,4,FALSE)*('3. Product Benefit Input'!$F133+'3. Product Benefit Input'!I133)*'3. Product Benefit Input'!O133),0)</f>
        <v>0</v>
      </c>
      <c r="M133" s="24">
        <f>IFERROR((VLOOKUP($D133,'0. Control Panel'!$C$7:$F$16,4,FALSE)*('3. Product Benefit Input'!$F133+'3. Product Benefit Input'!J133)*'3. Product Benefit Input'!$L133)-(VLOOKUP($D133,'0. Control Panel'!$C$7:$F$16,4,FALSE)*('3. Product Benefit Input'!$F133+'3. Product Benefit Input'!J133)*'3. Product Benefit Input'!P133),0)</f>
        <v>0</v>
      </c>
      <c r="O133" s="24">
        <f>'3. Product Benefit Input'!T133</f>
        <v>0</v>
      </c>
      <c r="P133" s="24">
        <f>'3. Product Benefit Input'!U133</f>
        <v>0</v>
      </c>
      <c r="Q133" s="24">
        <f>'3. Product Benefit Input'!V133</f>
        <v>0</v>
      </c>
      <c r="S133" s="24">
        <f t="shared" si="123"/>
        <v>0</v>
      </c>
      <c r="T133" s="24">
        <f t="shared" si="124"/>
        <v>0</v>
      </c>
      <c r="U133" s="24">
        <f t="shared" si="125"/>
        <v>0</v>
      </c>
    </row>
    <row r="134" spans="1:21" ht="16.5" thickBot="1" x14ac:dyDescent="0.3">
      <c r="A134" s="22" t="str">
        <f>D134&amp;$C$123</f>
        <v>All Departments/FunctionsP10</v>
      </c>
      <c r="B134" s="22"/>
      <c r="C134" s="23"/>
      <c r="D134" s="27" t="str">
        <f>D121</f>
        <v>All Departments/Functions</v>
      </c>
      <c r="E134" s="23"/>
      <c r="F134" s="23"/>
      <c r="G134" s="28">
        <f>SUM(G124:G133)</f>
        <v>0</v>
      </c>
      <c r="H134" s="28">
        <f t="shared" ref="H134" si="127">SUM(H124:H133)</f>
        <v>0</v>
      </c>
      <c r="I134" s="28">
        <f t="shared" ref="I134" si="128">SUM(I124:I133)</f>
        <v>0</v>
      </c>
      <c r="J134" s="23"/>
      <c r="K134" s="28">
        <f>SUM(K124:K133)</f>
        <v>0</v>
      </c>
      <c r="L134" s="28">
        <f t="shared" ref="L134" si="129">SUM(L124:L133)</f>
        <v>0</v>
      </c>
      <c r="M134" s="28">
        <f t="shared" ref="M134" si="130">SUM(M124:M133)</f>
        <v>0</v>
      </c>
      <c r="N134" s="29"/>
      <c r="O134" s="28">
        <f t="shared" ref="O134" si="131">SUM(O124:O133)</f>
        <v>0</v>
      </c>
      <c r="P134" s="28">
        <f t="shared" ref="P134" si="132">SUM(P124:P133)</f>
        <v>0</v>
      </c>
      <c r="Q134" s="28">
        <f t="shared" ref="Q134" si="133">SUM(Q124:Q133)</f>
        <v>0</v>
      </c>
      <c r="R134" s="29"/>
      <c r="S134" s="28">
        <f t="shared" ref="S134" si="134">SUM(S124:S133)</f>
        <v>0</v>
      </c>
      <c r="T134" s="28">
        <f t="shared" ref="T134" si="135">SUM(T124:T133)</f>
        <v>0</v>
      </c>
      <c r="U134" s="28">
        <f t="shared" ref="U134" si="136">SUM(U124:U133)</f>
        <v>0</v>
      </c>
    </row>
    <row r="135" spans="1:21" ht="16.5" thickTop="1" x14ac:dyDescent="0.25"/>
  </sheetData>
  <mergeCells count="4">
    <mergeCell ref="K3:M3"/>
    <mergeCell ref="O3:Q3"/>
    <mergeCell ref="S3:U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Cover</vt:lpstr>
      <vt:lpstr>a. Instructions</vt:lpstr>
      <vt:lpstr>b. Definitions</vt:lpstr>
      <vt:lpstr>0. Control Panel</vt:lpstr>
      <vt:lpstr>1. FTE Allocations</vt:lpstr>
      <vt:lpstr>2. Customer Benefit Input</vt:lpstr>
      <vt:lpstr>2.1 Customer Benefit Output</vt:lpstr>
      <vt:lpstr>3. Product Benefit Input</vt:lpstr>
      <vt:lpstr>3.1 Product Benefit Output</vt:lpstr>
      <vt:lpstr>4. Implementation Costs</vt:lpstr>
      <vt:lpstr>5. Segmented Cash Impact</vt:lpstr>
      <vt:lpstr>6. MDM ROI &amp; NPV</vt:lpstr>
      <vt:lpstr>'0. Control Panel'!Print_Area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Srinath Alamela</cp:lastModifiedBy>
  <dcterms:created xsi:type="dcterms:W3CDTF">2017-01-26T08:01:38Z</dcterms:created>
  <dcterms:modified xsi:type="dcterms:W3CDTF">2017-02-11T20:37:15Z</dcterms:modified>
  <cp:contentStatus/>
</cp:coreProperties>
</file>